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65326" windowWidth="17355" windowHeight="12240" activeTab="0"/>
  </bookViews>
  <sheets>
    <sheet name="CowBidPrice" sheetId="1" r:id="rId1"/>
  </sheets>
  <definedNames>
    <definedName name="_xlfn.IFERROR" hidden="1">#NAME?</definedName>
    <definedName name="_xlnm.Print_Area" localSheetId="0">'CowBidPrice'!#REF!</definedName>
  </definedNames>
  <calcPr fullCalcOnLoad="1"/>
</workbook>
</file>

<file path=xl/comments1.xml><?xml version="1.0" encoding="utf-8"?>
<comments xmlns="http://schemas.openxmlformats.org/spreadsheetml/2006/main">
  <authors>
    <author>lfalcone</author>
  </authors>
  <commentList>
    <comment ref="G7" authorId="0">
      <text>
        <r>
          <rPr>
            <sz val="11"/>
            <rFont val="Tahoma"/>
            <family val="2"/>
          </rPr>
          <t>Enter the annual rate of return you require for the investment in the cow. The discount rate should be selected such that it provides a rate of return comparable to an investment of similar risk.</t>
        </r>
      </text>
    </comment>
    <comment ref="G5" authorId="0">
      <text>
        <r>
          <rPr>
            <sz val="11"/>
            <rFont val="Tahoma"/>
            <family val="2"/>
          </rPr>
          <t>Enter the expected sale weight for this cow when she is culled from the herd. This weight will be used to calculate the salvage value for the cow and will be added to the cash flow generated by the sale of her calf in the last year for revenue calculation.</t>
        </r>
      </text>
    </comment>
    <comment ref="B5" authorId="0">
      <text>
        <r>
          <rPr>
            <sz val="11"/>
            <rFont val="Tahoma"/>
            <family val="2"/>
          </rPr>
          <t>Enter the expected weaning weight of the steer calves that you expect this cow to produce over her useful life. This weight will be used along with the steer price entered for each year to calculate an average calf value for cash flow calculations. This model assumes that there is a 50%/50% chance in any year that the cow will produce a steer or a heifer calf.</t>
        </r>
      </text>
    </comment>
    <comment ref="B6" authorId="0">
      <text>
        <r>
          <rPr>
            <sz val="11"/>
            <rFont val="Tahoma"/>
            <family val="2"/>
          </rPr>
          <t>Enter the expected weaning weight of heifer calves that this cow will produce over her useful life. This weight will be used along with the heifer price entered for each year to calculate an average calf value for cash flow calculations. This model assumes that there is a 50%/50% chance in any year that the cow will produce a steer or a heifer calf.</t>
        </r>
      </text>
    </comment>
    <comment ref="B7" authorId="0">
      <text>
        <r>
          <rPr>
            <sz val="11"/>
            <rFont val="Tahoma"/>
            <family val="2"/>
          </rPr>
          <t>Enter the bid price for the cow or cow/calf pair in dollars per head. This should be the average price per head if you are analyzing the economic feasibility of purchasing a group of cows. This value will be the initial investment used in the net present value calculation. If you include financing in this bid price analysis, this value will serve as the basis for calculating the down payment and any interest and principal payments.</t>
        </r>
      </text>
    </comment>
    <comment ref="I8" authorId="0">
      <text>
        <r>
          <rPr>
            <sz val="11"/>
            <rFont val="Tahoma"/>
            <family val="2"/>
          </rPr>
          <t>If the NPV is zero or greater, the investment is returning at least the discount rate of return. If NPV is less than zero, the investment in the cow will not generate the specified return requirement. The NPV calculation directly accounts for the time value of money, so it is a superior investment analysis tool compared to a simple rate of return or payback period calculation.</t>
        </r>
      </text>
    </comment>
    <comment ref="G6" authorId="0">
      <text>
        <r>
          <rPr>
            <sz val="11"/>
            <rFont val="Tahoma"/>
            <family val="2"/>
          </rPr>
          <t>Enter the number of years you expect this cow will be able to produce a calf. This value will determine the length of the net present value calculation carried out within the model. The model is programmed to handle a maximum of planning horizon of eight years.</t>
        </r>
      </text>
    </comment>
    <comment ref="B10" authorId="0">
      <text>
        <r>
          <rPr>
            <sz val="11"/>
            <rFont val="Tahoma"/>
            <family val="2"/>
          </rPr>
          <t>Enter the beginning year for the analysis. This value will be used for reporting purposes only.</t>
        </r>
      </text>
    </comment>
    <comment ref="B12" authorId="0">
      <text>
        <r>
          <rPr>
            <sz val="11"/>
            <rFont val="Tahoma"/>
            <family val="2"/>
          </rPr>
          <t xml:space="preserve">Enter the expected chance of this cow weaning a calf in the specified year. For the analysis of an individual cow, this number will either be 100 or 0. If this analysis is for a group of cows, you can specify the expected weaning percentage (for example, 85 to represent an 85% weaned calf crop) that will be used to adjust the receipts from calf sales. </t>
        </r>
      </text>
    </comment>
    <comment ref="B13" authorId="0">
      <text>
        <r>
          <rPr>
            <sz val="11"/>
            <rFont val="Tahoma"/>
            <family val="2"/>
          </rPr>
          <t>Enter the steer calf prices in dollars per hundredweight and net of marketing cost. These prices are used to generate the annual gross receipts from calf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B14" authorId="0">
      <text>
        <r>
          <rPr>
            <sz val="11"/>
            <rFont val="Tahoma"/>
            <family val="2"/>
          </rPr>
          <t>Enter the heifer calf prices in dollars per hundredweight and net of marketing cost. These prices are used to generate the annual gross receipts from calf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B20" authorId="0">
      <text>
        <r>
          <rPr>
            <sz val="11"/>
            <rFont val="Tahoma"/>
            <family val="2"/>
          </rPr>
          <t>Cow operating costs are all the costs of maintaining the cow on an annual basis except cow depreciation and interest.</t>
        </r>
      </text>
    </comment>
    <comment ref="B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B27" authorId="0">
      <text>
        <r>
          <rPr>
            <sz val="11"/>
            <rFont val="Tahoma"/>
            <family val="2"/>
          </rPr>
          <t>To analyze a scenario that includes financing the purchase of the cow, enter the percentage of the purchase price (the % down payment)  required by the lending institution.</t>
        </r>
      </text>
    </comment>
    <comment ref="B29" authorId="0">
      <text>
        <r>
          <rPr>
            <sz val="11"/>
            <rFont val="Tahoma"/>
            <family val="2"/>
          </rPr>
          <t>To analyze a scenario that includes financing the purchase of the cow, enter the length of the financing arrangement under consideration. The model can handle a note up to a maximum of 7 years.</t>
        </r>
      </text>
    </comment>
    <comment ref="B31" authorId="0">
      <text>
        <r>
          <rPr>
            <sz val="11"/>
            <rFont val="Tahoma"/>
            <family val="2"/>
          </rPr>
          <t>To analyze a scenario that includes financing the purchase of the cow, enter the interest rate of the financing arrangement under consideration (for example, 8.00 for 8%).</t>
        </r>
      </text>
    </comment>
    <comment ref="C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D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E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F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G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H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 ref="B15" authorId="0">
      <text>
        <r>
          <rPr>
            <sz val="11"/>
            <rFont val="Tahoma"/>
            <family val="2"/>
          </rPr>
          <t>Enter the cull cow price in dollars per hundredweight in the year of disposal. The price is used to generate the gross receipts from cull cow sales. If you do not have a specific price scenario for this analysis, long term price projections are available from the Economic Research Service of USDA at http://www.ers.usda.gov/Features/Baseline/ and from Food and Agricultural Policy Research Institute at http://www.fapri.iastate.edu/outlook/ .</t>
        </r>
      </text>
    </comment>
    <comment ref="I37" authorId="0">
      <text>
        <r>
          <rPr>
            <b/>
            <sz val="9"/>
            <rFont val="Tahoma"/>
            <family val="2"/>
          </rPr>
          <t>To generate an after-tax analysis, enter the annual percentage depreciation for tax calculations. Note that the sum of the percentages over the analysis should sum to 100.  Current tax law allows you to depreciate purchased breeding livestock using either a 5 or 7 year recovery period. See the IRS Publication 225 “Farmer's Tax Guide” at www.irs.gov for details concerning depreciation methods.</t>
        </r>
      </text>
    </comment>
  </commentList>
</comments>
</file>

<file path=xl/sharedStrings.xml><?xml version="1.0" encoding="utf-8"?>
<sst xmlns="http://schemas.openxmlformats.org/spreadsheetml/2006/main" count="42" uniqueCount="41">
  <si>
    <t>Year</t>
  </si>
  <si>
    <t>Lb.</t>
  </si>
  <si>
    <t>%</t>
  </si>
  <si>
    <t xml:space="preserve">Net Present </t>
  </si>
  <si>
    <t>Cow Price ($/Head)</t>
  </si>
  <si>
    <t>Calf Crop or Weaning %</t>
  </si>
  <si>
    <t>Steers Price ($/Cwt)</t>
  </si>
  <si>
    <t>Heifer Price ($/Cwt)</t>
  </si>
  <si>
    <t>Cull Cow Price ($/Cwt)</t>
  </si>
  <si>
    <t>Gross Receipts (Calf Sales)</t>
  </si>
  <si>
    <t>Cow Operating Cost/Year</t>
  </si>
  <si>
    <t>Net Above Operating Cost</t>
  </si>
  <si>
    <t>Equity Requirement (%)</t>
  </si>
  <si>
    <t>Equals</t>
  </si>
  <si>
    <t>Per Head</t>
  </si>
  <si>
    <t>Length of Note (Years)</t>
  </si>
  <si>
    <t>Interest Rate (%)</t>
  </si>
  <si>
    <t>Totals</t>
  </si>
  <si>
    <t>Interest Payment</t>
  </si>
  <si>
    <t>Principal Payment</t>
  </si>
  <si>
    <t>Debt Service Requirement</t>
  </si>
  <si>
    <t>Depreciation %</t>
  </si>
  <si>
    <t>Depreciation Expense</t>
  </si>
  <si>
    <t>Cash Flow Available</t>
  </si>
  <si>
    <t>for Debt Service</t>
  </si>
  <si>
    <t>Net Cash Flow</t>
  </si>
  <si>
    <t xml:space="preserve">Cow Salvage Value </t>
  </si>
  <si>
    <t>Year 0</t>
  </si>
  <si>
    <t>Year 1</t>
  </si>
  <si>
    <t>Analysis Section</t>
  </si>
  <si>
    <r>
      <rPr>
        <sz val="18"/>
        <color indexed="8"/>
        <rFont val="Calibri"/>
        <family val="2"/>
      </rPr>
      <t>Cow Bid Price Estimate Calculator</t>
    </r>
    <r>
      <rPr>
        <sz val="10"/>
        <rFont val="Arial"/>
        <family val="2"/>
      </rPr>
      <t xml:space="preserve">
Texas Agrilife Extension and Oklahoma State University</t>
    </r>
    <r>
      <rPr>
        <sz val="16"/>
        <color indexed="8"/>
        <rFont val="Calibri"/>
        <family val="2"/>
      </rPr>
      <t xml:space="preserve">
</t>
    </r>
    <r>
      <rPr>
        <sz val="10"/>
        <rFont val="Arial"/>
        <family val="2"/>
      </rPr>
      <t xml:space="preserve">
Developed by
Lawrence Falconer, Professor, Texas Agrilife Extension Service and James McGrann, Professor Emeritus, Texas A&amp;M University
Update by
Lawrence Falconer, Texas Agrilife Extension Service and Damona Doye and Roger Sahs, Agricultural Economics, Oklahoma State University
</t>
    </r>
  </si>
  <si>
    <t>Financing Information</t>
  </si>
  <si>
    <t>Check for payback period</t>
  </si>
  <si>
    <t xml:space="preserve">         Cull Cow Sale Weight (Pounds/Head)  </t>
  </si>
  <si>
    <t xml:space="preserve">Number of Calving Opportunities (Years)  </t>
  </si>
  <si>
    <t xml:space="preserve">         Discount Rate (%)  </t>
  </si>
  <si>
    <t>Steer Weight (Pounds/Head)</t>
  </si>
  <si>
    <t>Heifer Weight (Pounds/Head)</t>
  </si>
  <si>
    <t>Value (NPV)</t>
  </si>
  <si>
    <t>Pre-Tax Cash Flows</t>
  </si>
  <si>
    <t>*Comments regarding this investment scenario. The analysis of this scenario is on a pre-tax basis.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</si>
</sst>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_);\(0.0\)"/>
    <numFmt numFmtId="167" formatCode="&quot;Yes&quot;;&quot;Yes&quot;;&quot;No&quot;"/>
    <numFmt numFmtId="168" formatCode="&quot;True&quot;;&quot;True&quot;;&quot;False&quot;"/>
    <numFmt numFmtId="169" formatCode="&quot;On&quot;;&quot;On&quot;;&quot;Off&quot;"/>
    <numFmt numFmtId="170" formatCode="[$€-2]\ #,##0.00_);[Red]\([$€-2]\ #,##0.00\)"/>
  </numFmts>
  <fonts count="50">
    <font>
      <sz val="10"/>
      <name val="Arial"/>
      <family val="0"/>
    </font>
    <font>
      <sz val="11"/>
      <color indexed="8"/>
      <name val="Calibri"/>
      <family val="2"/>
    </font>
    <font>
      <sz val="12"/>
      <color indexed="8"/>
      <name val="Arial"/>
      <family val="2"/>
    </font>
    <font>
      <sz val="12"/>
      <name val="Arial"/>
      <family val="2"/>
    </font>
    <font>
      <sz val="12"/>
      <color indexed="12"/>
      <name val="Arial"/>
      <family val="2"/>
    </font>
    <font>
      <b/>
      <sz val="12"/>
      <color indexed="8"/>
      <name val="Arial"/>
      <family val="2"/>
    </font>
    <font>
      <sz val="18"/>
      <color indexed="8"/>
      <name val="Calibri"/>
      <family val="2"/>
    </font>
    <font>
      <sz val="16"/>
      <color indexed="8"/>
      <name val="Calibri"/>
      <family val="2"/>
    </font>
    <font>
      <b/>
      <sz val="9"/>
      <name val="Tahoma"/>
      <family val="2"/>
    </font>
    <font>
      <u val="single"/>
      <sz val="12"/>
      <color indexed="8"/>
      <name val="Arial"/>
      <family val="2"/>
    </font>
    <font>
      <sz val="11"/>
      <name val="Tahoma"/>
      <family val="2"/>
    </font>
    <font>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color indexed="8"/>
      </bottom>
    </border>
    <border>
      <left/>
      <right/>
      <top/>
      <bottom style="thick">
        <color indexed="8"/>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bottom style="thin"/>
    </border>
    <border>
      <left/>
      <right/>
      <top style="thin">
        <color indexed="8"/>
      </top>
      <bottom/>
    </border>
    <border>
      <left style="thin">
        <color indexed="8"/>
      </left>
      <right style="thin">
        <color indexed="8"/>
      </right>
      <top style="thin">
        <color indexed="8"/>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Alignment="1">
      <alignment/>
    </xf>
    <xf numFmtId="5" fontId="3" fillId="0" borderId="0" xfId="0" applyNumberFormat="1" applyFont="1" applyAlignment="1">
      <alignment/>
    </xf>
    <xf numFmtId="0" fontId="5" fillId="0" borderId="0" xfId="0" applyNumberFormat="1" applyFont="1" applyAlignment="1">
      <alignment/>
    </xf>
    <xf numFmtId="0" fontId="3" fillId="0" borderId="0" xfId="0" applyNumberFormat="1" applyFont="1" applyAlignment="1">
      <alignment/>
    </xf>
    <xf numFmtId="0" fontId="0" fillId="0" borderId="0" xfId="0" applyFont="1" applyAlignment="1">
      <alignment/>
    </xf>
    <xf numFmtId="8" fontId="3" fillId="0" borderId="10" xfId="0" applyNumberFormat="1" applyFont="1" applyBorder="1" applyAlignment="1">
      <alignment/>
    </xf>
    <xf numFmtId="0" fontId="5" fillId="0" borderId="0" xfId="0" applyNumberFormat="1" applyFont="1" applyAlignment="1">
      <alignment horizontal="right"/>
    </xf>
    <xf numFmtId="0" fontId="3" fillId="0" borderId="11" xfId="0" applyNumberFormat="1" applyFont="1" applyBorder="1" applyAlignment="1">
      <alignment/>
    </xf>
    <xf numFmtId="0" fontId="3" fillId="0" borderId="0" xfId="0" applyNumberFormat="1" applyFont="1" applyAlignment="1">
      <alignment horizontal="center"/>
    </xf>
    <xf numFmtId="7" fontId="5" fillId="0" borderId="0" xfId="0" applyNumberFormat="1" applyFont="1" applyAlignment="1">
      <alignment/>
    </xf>
    <xf numFmtId="7" fontId="3" fillId="0" borderId="0" xfId="0" applyNumberFormat="1" applyFont="1" applyAlignment="1">
      <alignment/>
    </xf>
    <xf numFmtId="7" fontId="3" fillId="0" borderId="12" xfId="0" applyNumberFormat="1" applyFont="1" applyBorder="1" applyAlignment="1">
      <alignment/>
    </xf>
    <xf numFmtId="10" fontId="3" fillId="0" borderId="0" xfId="0" applyNumberFormat="1" applyFont="1" applyAlignment="1">
      <alignment/>
    </xf>
    <xf numFmtId="0" fontId="3" fillId="0" borderId="12" xfId="0" applyNumberFormat="1" applyFont="1" applyBorder="1" applyAlignment="1">
      <alignment/>
    </xf>
    <xf numFmtId="9" fontId="3" fillId="0" borderId="0" xfId="0" applyNumberFormat="1" applyFont="1" applyAlignment="1">
      <alignment/>
    </xf>
    <xf numFmtId="37" fontId="3" fillId="32" borderId="13" xfId="0" applyNumberFormat="1" applyFont="1" applyFill="1" applyBorder="1" applyAlignment="1" applyProtection="1">
      <alignment/>
      <protection locked="0"/>
    </xf>
    <xf numFmtId="5" fontId="3" fillId="32" borderId="13" xfId="0" applyNumberFormat="1" applyFont="1" applyFill="1" applyBorder="1" applyAlignment="1" applyProtection="1">
      <alignment/>
      <protection locked="0"/>
    </xf>
    <xf numFmtId="0" fontId="2" fillId="0" borderId="0" xfId="0" applyNumberFormat="1" applyFont="1" applyAlignment="1">
      <alignment/>
    </xf>
    <xf numFmtId="0" fontId="2" fillId="0" borderId="1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2" fillId="0" borderId="12" xfId="0" applyNumberFormat="1" applyFont="1" applyBorder="1" applyAlignment="1">
      <alignment/>
    </xf>
    <xf numFmtId="7" fontId="2" fillId="0" borderId="0" xfId="0" applyNumberFormat="1" applyFont="1" applyAlignment="1">
      <alignment/>
    </xf>
    <xf numFmtId="7" fontId="2" fillId="0" borderId="12" xfId="0" applyNumberFormat="1" applyFont="1" applyBorder="1" applyAlignment="1">
      <alignment/>
    </xf>
    <xf numFmtId="0" fontId="2" fillId="0" borderId="12" xfId="0" applyNumberFormat="1" applyFont="1" applyBorder="1" applyAlignment="1">
      <alignment horizontal="right"/>
    </xf>
    <xf numFmtId="0" fontId="2" fillId="0" borderId="0" xfId="0" applyNumberFormat="1" applyFont="1" applyAlignment="1">
      <alignment horizontal="center"/>
    </xf>
    <xf numFmtId="5" fontId="4" fillId="33" borderId="16" xfId="0" applyNumberFormat="1" applyFont="1" applyFill="1" applyBorder="1" applyAlignment="1" applyProtection="1">
      <alignment/>
      <protection locked="0"/>
    </xf>
    <xf numFmtId="0" fontId="2" fillId="0" borderId="11" xfId="0" applyNumberFormat="1" applyFont="1" applyBorder="1" applyAlignment="1">
      <alignment/>
    </xf>
    <xf numFmtId="165" fontId="3" fillId="32" borderId="10" xfId="0" applyNumberFormat="1" applyFont="1" applyFill="1" applyBorder="1" applyAlignment="1" applyProtection="1">
      <alignment/>
      <protection locked="0"/>
    </xf>
    <xf numFmtId="164" fontId="3" fillId="32" borderId="13" xfId="0" applyNumberFormat="1" applyFont="1" applyFill="1" applyBorder="1" applyAlignment="1" applyProtection="1">
      <alignment/>
      <protection locked="0"/>
    </xf>
    <xf numFmtId="164" fontId="3" fillId="32" borderId="17" xfId="0" applyNumberFormat="1" applyFont="1" applyFill="1" applyBorder="1" applyAlignment="1" applyProtection="1">
      <alignment/>
      <protection locked="0"/>
    </xf>
    <xf numFmtId="0" fontId="3" fillId="0" borderId="11" xfId="0" applyNumberFormat="1" applyFont="1" applyBorder="1" applyAlignment="1">
      <alignment horizontal="center"/>
    </xf>
    <xf numFmtId="165" fontId="3" fillId="32" borderId="13" xfId="0" applyNumberFormat="1" applyFont="1" applyFill="1" applyBorder="1" applyAlignment="1" applyProtection="1">
      <alignment horizontal="right"/>
      <protection locked="0"/>
    </xf>
    <xf numFmtId="5" fontId="3" fillId="32" borderId="13" xfId="0" applyNumberFormat="1" applyFont="1" applyFill="1" applyBorder="1" applyAlignment="1" applyProtection="1">
      <alignment horizontal="right"/>
      <protection locked="0"/>
    </xf>
    <xf numFmtId="166" fontId="3" fillId="32" borderId="13" xfId="0" applyNumberFormat="1" applyFont="1" applyFill="1" applyBorder="1" applyAlignment="1" applyProtection="1">
      <alignment/>
      <protection locked="0"/>
    </xf>
    <xf numFmtId="165" fontId="3" fillId="32" borderId="13" xfId="0" applyNumberFormat="1" applyFont="1" applyFill="1" applyBorder="1" applyAlignment="1" applyProtection="1">
      <alignment/>
      <protection locked="0"/>
    </xf>
    <xf numFmtId="7" fontId="3" fillId="0" borderId="0" xfId="0" applyNumberFormat="1" applyFont="1" applyAlignment="1" quotePrefix="1">
      <alignment/>
    </xf>
    <xf numFmtId="10" fontId="11" fillId="0" borderId="0" xfId="0" applyNumberFormat="1" applyFont="1" applyAlignment="1">
      <alignment/>
    </xf>
    <xf numFmtId="0" fontId="9" fillId="0" borderId="0" xfId="0" applyNumberFormat="1" applyFont="1" applyAlignment="1">
      <alignment/>
    </xf>
    <xf numFmtId="0" fontId="2" fillId="0" borderId="11" xfId="0" applyNumberFormat="1" applyFont="1" applyBorder="1" applyAlignment="1" quotePrefix="1">
      <alignment horizontal="center"/>
    </xf>
    <xf numFmtId="165" fontId="0" fillId="0" borderId="0" xfId="0" applyNumberFormat="1" applyAlignment="1">
      <alignment/>
    </xf>
    <xf numFmtId="0" fontId="3" fillId="0" borderId="0" xfId="0" applyNumberFormat="1" applyFont="1" applyAlignment="1" quotePrefix="1">
      <alignment/>
    </xf>
    <xf numFmtId="0" fontId="11" fillId="0" borderId="0" xfId="0" applyNumberFormat="1" applyFont="1" applyAlignment="1">
      <alignment/>
    </xf>
    <xf numFmtId="0" fontId="2" fillId="0" borderId="12" xfId="0" applyNumberFormat="1" applyFont="1" applyBorder="1" applyAlignment="1" quotePrefix="1">
      <alignment horizontal="right"/>
    </xf>
    <xf numFmtId="0" fontId="2" fillId="0" borderId="0" xfId="0" applyNumberFormat="1" applyFont="1" applyAlignment="1">
      <alignment horizontal="right"/>
    </xf>
    <xf numFmtId="43" fontId="3" fillId="0" borderId="0" xfId="42" applyFont="1" applyAlignment="1" quotePrefix="1">
      <alignment/>
    </xf>
    <xf numFmtId="0" fontId="0" fillId="0" borderId="18" xfId="0" applyFont="1" applyFill="1" applyBorder="1" applyAlignment="1">
      <alignment horizontal="center" wrapText="1"/>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2</xdr:row>
      <xdr:rowOff>819150</xdr:rowOff>
    </xdr:from>
    <xdr:to>
      <xdr:col>8</xdr:col>
      <xdr:colOff>247650</xdr:colOff>
      <xdr:row>2</xdr:row>
      <xdr:rowOff>819150</xdr:rowOff>
    </xdr:to>
    <xdr:pic>
      <xdr:nvPicPr>
        <xdr:cNvPr id="1" name="Picture 5" descr="Extensionlogo5.jpg"/>
        <xdr:cNvPicPr preferRelativeResize="1">
          <a:picLocks noChangeAspect="1"/>
        </xdr:cNvPicPr>
      </xdr:nvPicPr>
      <xdr:blipFill>
        <a:blip r:embed="rId1"/>
        <a:stretch>
          <a:fillRect/>
        </a:stretch>
      </xdr:blipFill>
      <xdr:spPr>
        <a:xfrm>
          <a:off x="7934325" y="1457325"/>
          <a:ext cx="876300" cy="0"/>
        </a:xfrm>
        <a:prstGeom prst="rect">
          <a:avLst/>
        </a:prstGeom>
        <a:noFill/>
        <a:ln w="9525" cmpd="sng">
          <a:noFill/>
        </a:ln>
      </xdr:spPr>
    </xdr:pic>
    <xdr:clientData/>
  </xdr:twoCellAnchor>
  <xdr:twoCellAnchor editAs="oneCell">
    <xdr:from>
      <xdr:col>0</xdr:col>
      <xdr:colOff>47625</xdr:colOff>
      <xdr:row>2</xdr:row>
      <xdr:rowOff>809625</xdr:rowOff>
    </xdr:from>
    <xdr:to>
      <xdr:col>0</xdr:col>
      <xdr:colOff>1676400</xdr:colOff>
      <xdr:row>2</xdr:row>
      <xdr:rowOff>809625</xdr:rowOff>
    </xdr:to>
    <xdr:pic>
      <xdr:nvPicPr>
        <xdr:cNvPr id="2" name="Picture 6" descr="Research+logo7.jpg"/>
        <xdr:cNvPicPr preferRelativeResize="1">
          <a:picLocks noChangeAspect="1"/>
        </xdr:cNvPicPr>
      </xdr:nvPicPr>
      <xdr:blipFill>
        <a:blip r:embed="rId2"/>
        <a:stretch>
          <a:fillRect/>
        </a:stretch>
      </xdr:blipFill>
      <xdr:spPr>
        <a:xfrm>
          <a:off x="47625" y="1447800"/>
          <a:ext cx="1628775" cy="0"/>
        </a:xfrm>
        <a:prstGeom prst="rect">
          <a:avLst/>
        </a:prstGeom>
        <a:noFill/>
        <a:ln w="9525" cmpd="sng">
          <a:noFill/>
        </a:ln>
      </xdr:spPr>
    </xdr:pic>
    <xdr:clientData/>
  </xdr:twoCellAnchor>
  <xdr:twoCellAnchor editAs="oneCell">
    <xdr:from>
      <xdr:col>6</xdr:col>
      <xdr:colOff>914400</xdr:colOff>
      <xdr:row>1</xdr:row>
      <xdr:rowOff>152400</xdr:rowOff>
    </xdr:from>
    <xdr:to>
      <xdr:col>7</xdr:col>
      <xdr:colOff>828675</xdr:colOff>
      <xdr:row>2</xdr:row>
      <xdr:rowOff>666750</xdr:rowOff>
    </xdr:to>
    <xdr:pic>
      <xdr:nvPicPr>
        <xdr:cNvPr id="3" name="Picture 8" descr="Extensionlogo5.jpg"/>
        <xdr:cNvPicPr preferRelativeResize="1">
          <a:picLocks noChangeAspect="1"/>
        </xdr:cNvPicPr>
      </xdr:nvPicPr>
      <xdr:blipFill>
        <a:blip r:embed="rId3"/>
        <a:stretch>
          <a:fillRect/>
        </a:stretch>
      </xdr:blipFill>
      <xdr:spPr>
        <a:xfrm>
          <a:off x="7648575" y="361950"/>
          <a:ext cx="828675" cy="942975"/>
        </a:xfrm>
        <a:prstGeom prst="rect">
          <a:avLst/>
        </a:prstGeom>
        <a:noFill/>
        <a:ln w="9525" cmpd="sng">
          <a:noFill/>
        </a:ln>
      </xdr:spPr>
    </xdr:pic>
    <xdr:clientData/>
  </xdr:twoCellAnchor>
  <xdr:twoCellAnchor editAs="oneCell">
    <xdr:from>
      <xdr:col>0</xdr:col>
      <xdr:colOff>123825</xdr:colOff>
      <xdr:row>1</xdr:row>
      <xdr:rowOff>238125</xdr:rowOff>
    </xdr:from>
    <xdr:to>
      <xdr:col>1</xdr:col>
      <xdr:colOff>685800</xdr:colOff>
      <xdr:row>2</xdr:row>
      <xdr:rowOff>476250</xdr:rowOff>
    </xdr:to>
    <xdr:pic>
      <xdr:nvPicPr>
        <xdr:cNvPr id="4" name="Picture 4" descr="AgriLife EXTENSION logo (2-color).jpg"/>
        <xdr:cNvPicPr preferRelativeResize="1">
          <a:picLocks noChangeAspect="1"/>
        </xdr:cNvPicPr>
      </xdr:nvPicPr>
      <xdr:blipFill>
        <a:blip r:embed="rId4"/>
        <a:stretch>
          <a:fillRect/>
        </a:stretch>
      </xdr:blipFill>
      <xdr:spPr>
        <a:xfrm>
          <a:off x="123825" y="447675"/>
          <a:ext cx="27241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4"/>
  <sheetViews>
    <sheetView showGridLines="0" tabSelected="1" zoomScalePageLayoutView="0" workbookViewId="0" topLeftCell="A1">
      <selection activeCell="H26" sqref="H26"/>
    </sheetView>
  </sheetViews>
  <sheetFormatPr defaultColWidth="9.140625" defaultRowHeight="12.75"/>
  <cols>
    <col min="1" max="1" width="32.421875" style="0" customWidth="1"/>
    <col min="2" max="8" width="13.7109375" style="0" customWidth="1"/>
    <col min="9" max="9" width="13.00390625" style="0" customWidth="1"/>
    <col min="11" max="13" width="0" style="0" hidden="1" customWidth="1"/>
  </cols>
  <sheetData>
    <row r="1" ht="16.5" customHeight="1"/>
    <row r="2" spans="1:9" ht="33.75" customHeight="1">
      <c r="A2" s="46" t="s">
        <v>30</v>
      </c>
      <c r="B2" s="47"/>
      <c r="C2" s="47"/>
      <c r="D2" s="47"/>
      <c r="E2" s="47"/>
      <c r="F2" s="47"/>
      <c r="G2" s="47"/>
      <c r="H2" s="47"/>
      <c r="I2" s="48"/>
    </row>
    <row r="3" spans="1:9" ht="105.75" customHeight="1">
      <c r="A3" s="49"/>
      <c r="B3" s="50"/>
      <c r="C3" s="50"/>
      <c r="D3" s="50"/>
      <c r="E3" s="50"/>
      <c r="F3" s="50"/>
      <c r="G3" s="50"/>
      <c r="H3" s="50"/>
      <c r="I3" s="51"/>
    </row>
    <row r="5" spans="1:16" ht="15">
      <c r="A5" s="17" t="s">
        <v>36</v>
      </c>
      <c r="B5" s="15">
        <v>500</v>
      </c>
      <c r="C5" s="3"/>
      <c r="D5" s="17"/>
      <c r="F5" s="44" t="s">
        <v>33</v>
      </c>
      <c r="G5" s="15">
        <v>1000</v>
      </c>
      <c r="H5" s="3" t="s">
        <v>1</v>
      </c>
      <c r="I5" s="3"/>
      <c r="J5" s="3"/>
      <c r="K5" s="4"/>
      <c r="L5" s="4"/>
      <c r="M5" s="4"/>
      <c r="N5" s="4"/>
      <c r="O5" s="4"/>
      <c r="P5" s="4"/>
    </row>
    <row r="6" spans="1:16" ht="15">
      <c r="A6" s="17" t="s">
        <v>37</v>
      </c>
      <c r="B6" s="15">
        <v>475</v>
      </c>
      <c r="C6" s="17"/>
      <c r="F6" s="44" t="s">
        <v>34</v>
      </c>
      <c r="G6" s="28">
        <v>7</v>
      </c>
      <c r="H6" s="3"/>
      <c r="I6" s="19" t="s">
        <v>3</v>
      </c>
      <c r="J6" s="3"/>
      <c r="K6" s="4"/>
      <c r="L6" s="4"/>
      <c r="M6" s="4"/>
      <c r="N6" s="4"/>
      <c r="O6" s="4"/>
      <c r="P6" s="4"/>
    </row>
    <row r="7" spans="1:16" ht="15">
      <c r="A7" s="17" t="s">
        <v>4</v>
      </c>
      <c r="B7" s="16">
        <v>1195</v>
      </c>
      <c r="C7" s="3"/>
      <c r="D7" s="17"/>
      <c r="F7" s="44" t="s">
        <v>35</v>
      </c>
      <c r="G7" s="30">
        <v>5</v>
      </c>
      <c r="H7" s="3" t="s">
        <v>2</v>
      </c>
      <c r="I7" s="20" t="s">
        <v>38</v>
      </c>
      <c r="J7" s="3"/>
      <c r="K7" s="4"/>
      <c r="L7" s="4"/>
      <c r="M7" s="4"/>
      <c r="N7" s="4"/>
      <c r="O7" s="4"/>
      <c r="P7" s="4"/>
    </row>
    <row r="8" spans="2:16" ht="15">
      <c r="B8" s="26"/>
      <c r="C8" s="3"/>
      <c r="D8" s="17"/>
      <c r="F8" s="3"/>
      <c r="H8" s="3"/>
      <c r="I8" s="5">
        <f>SUM(A86:I86)</f>
        <v>10.88183974238052</v>
      </c>
      <c r="J8" s="3"/>
      <c r="K8" s="4"/>
      <c r="L8" s="4"/>
      <c r="M8" s="4"/>
      <c r="N8" s="4"/>
      <c r="O8" s="4"/>
      <c r="P8" s="4"/>
    </row>
    <row r="9" spans="9:16" ht="15">
      <c r="I9" s="3"/>
      <c r="J9" s="3"/>
      <c r="K9" s="4"/>
      <c r="L9" s="4"/>
      <c r="M9" s="4"/>
      <c r="N9" s="4"/>
      <c r="O9" s="4"/>
      <c r="P9" s="4"/>
    </row>
    <row r="10" spans="1:16" ht="15">
      <c r="A10" s="3" t="s">
        <v>0</v>
      </c>
      <c r="B10" s="28">
        <v>2011</v>
      </c>
      <c r="C10" s="18">
        <f>IF(G6&gt;=2,(B10+1),"")</f>
        <v>2012</v>
      </c>
      <c r="D10" s="18">
        <f>IF(G6&gt;=3,C10+1,"")</f>
        <v>2013</v>
      </c>
      <c r="E10" s="18">
        <f>IF(G6&gt;=4,D10+1,"")</f>
        <v>2014</v>
      </c>
      <c r="F10" s="18">
        <f>IF(G6&gt;=5,E10+1,"")</f>
        <v>2015</v>
      </c>
      <c r="G10" s="18">
        <f>IF(G6&gt;=6,F10+1,"")</f>
        <v>2016</v>
      </c>
      <c r="H10" s="39">
        <f>IF(G6&gt;=7,G10+1,"")</f>
        <v>2017</v>
      </c>
      <c r="I10" s="39">
        <f>IF(G6&gt;=8,H10+1,"")</f>
      </c>
      <c r="J10" s="3"/>
      <c r="K10" s="4"/>
      <c r="L10" s="4"/>
      <c r="M10" s="4"/>
      <c r="N10" s="4"/>
      <c r="O10" s="4"/>
      <c r="P10" s="4"/>
    </row>
    <row r="11" spans="1:16" ht="15.75">
      <c r="A11" s="6"/>
      <c r="B11" s="31" t="str">
        <f>IF(G6&gt;=1,"Year 1","")</f>
        <v>Year 1</v>
      </c>
      <c r="C11" s="18" t="str">
        <f>IF(G6&gt;=2,"Year 2","")</f>
        <v>Year 2</v>
      </c>
      <c r="D11" s="18" t="str">
        <f>IF(G6&gt;=3,"Year 3","")</f>
        <v>Year 3</v>
      </c>
      <c r="E11" s="18" t="str">
        <f>IF(G6&gt;=4,"Year 4","")</f>
        <v>Year 4</v>
      </c>
      <c r="F11" s="18" t="str">
        <f>IF(G6&gt;=5,"Year 5","")</f>
        <v>Year 5</v>
      </c>
      <c r="G11" s="18" t="str">
        <f>IF(G6&gt;=6,"Year 6","")</f>
        <v>Year 6</v>
      </c>
      <c r="H11" s="18" t="str">
        <f>IF(G6&gt;=7,"Year 7","")</f>
        <v>Year 7</v>
      </c>
      <c r="I11" s="18">
        <f>IF(G6&gt;=8,"Year 8","")</f>
      </c>
      <c r="J11" s="3"/>
      <c r="K11" s="4"/>
      <c r="L11" s="4"/>
      <c r="M11" s="4"/>
      <c r="N11" s="4"/>
      <c r="O11" s="4"/>
      <c r="P11" s="4"/>
    </row>
    <row r="12" spans="1:16" ht="15">
      <c r="A12" s="17" t="s">
        <v>5</v>
      </c>
      <c r="B12" s="32">
        <v>100</v>
      </c>
      <c r="C12" s="32">
        <v>100</v>
      </c>
      <c r="D12" s="32">
        <v>100</v>
      </c>
      <c r="E12" s="32">
        <v>100</v>
      </c>
      <c r="F12" s="32">
        <v>100</v>
      </c>
      <c r="G12" s="32">
        <v>100</v>
      </c>
      <c r="H12" s="32">
        <v>100</v>
      </c>
      <c r="I12" s="32">
        <v>100</v>
      </c>
      <c r="J12" s="3"/>
      <c r="K12" s="4"/>
      <c r="L12" s="4"/>
      <c r="M12" s="4"/>
      <c r="N12" s="4"/>
      <c r="O12" s="4"/>
      <c r="P12" s="4"/>
    </row>
    <row r="13" spans="1:16" ht="15">
      <c r="A13" s="17" t="s">
        <v>6</v>
      </c>
      <c r="B13" s="33">
        <v>140</v>
      </c>
      <c r="C13" s="33">
        <v>150</v>
      </c>
      <c r="D13" s="33">
        <v>155</v>
      </c>
      <c r="E13" s="33">
        <v>133</v>
      </c>
      <c r="F13" s="33">
        <v>133</v>
      </c>
      <c r="G13" s="33">
        <v>126</v>
      </c>
      <c r="H13" s="33">
        <v>126</v>
      </c>
      <c r="I13" s="33">
        <v>126</v>
      </c>
      <c r="J13" s="3"/>
      <c r="K13" s="4"/>
      <c r="L13" s="4"/>
      <c r="M13" s="4"/>
      <c r="N13" s="4"/>
      <c r="O13" s="4"/>
      <c r="P13" s="4"/>
    </row>
    <row r="14" spans="1:16" ht="15">
      <c r="A14" s="17" t="s">
        <v>7</v>
      </c>
      <c r="B14" s="16">
        <v>134</v>
      </c>
      <c r="C14" s="16">
        <v>144</v>
      </c>
      <c r="D14" s="16">
        <v>149</v>
      </c>
      <c r="E14" s="16">
        <v>127</v>
      </c>
      <c r="F14" s="16">
        <v>127</v>
      </c>
      <c r="G14" s="16">
        <v>120</v>
      </c>
      <c r="H14" s="16">
        <v>120</v>
      </c>
      <c r="I14" s="16">
        <v>120</v>
      </c>
      <c r="J14" s="3"/>
      <c r="K14" s="4"/>
      <c r="L14" s="4"/>
      <c r="M14" s="4"/>
      <c r="N14" s="4"/>
      <c r="O14" s="4"/>
      <c r="P14" s="4"/>
    </row>
    <row r="15" spans="1:16" ht="15">
      <c r="A15" s="17" t="s">
        <v>8</v>
      </c>
      <c r="B15" s="16">
        <v>0</v>
      </c>
      <c r="C15" s="16">
        <v>0</v>
      </c>
      <c r="D15" s="16">
        <v>0</v>
      </c>
      <c r="E15" s="16">
        <v>0</v>
      </c>
      <c r="F15" s="16">
        <v>0</v>
      </c>
      <c r="G15" s="16">
        <v>0</v>
      </c>
      <c r="H15" s="16">
        <v>60</v>
      </c>
      <c r="I15" s="16">
        <v>60</v>
      </c>
      <c r="J15" s="3"/>
      <c r="K15" s="4"/>
      <c r="L15" s="4"/>
      <c r="M15" s="4"/>
      <c r="N15" s="4"/>
      <c r="O15" s="4"/>
      <c r="P15" s="4"/>
    </row>
    <row r="16" spans="1:16" ht="15" hidden="1">
      <c r="A16" s="40">
        <f>B10+G6-1</f>
        <v>2017</v>
      </c>
      <c r="B16" s="3" t="b">
        <f>AND($G$6=1,B15&lt;10)</f>
        <v>0</v>
      </c>
      <c r="C16" s="3" t="b">
        <f>AND($G$6=2,C15&lt;10)</f>
        <v>0</v>
      </c>
      <c r="D16" s="3" t="b">
        <f>AND($G$6=3,D15&lt;10)</f>
        <v>0</v>
      </c>
      <c r="E16" s="3" t="b">
        <f>AND($G$6=4,E15&lt;10)</f>
        <v>0</v>
      </c>
      <c r="F16" s="3" t="b">
        <f>AND($G$6=5,F15&lt;10)</f>
        <v>0</v>
      </c>
      <c r="G16" s="3" t="b">
        <f>AND($G$6=6,G15&lt;10)</f>
        <v>0</v>
      </c>
      <c r="H16" s="3" t="b">
        <f>AND($G$6=7,H15&lt;10)</f>
        <v>0</v>
      </c>
      <c r="I16" s="3" t="b">
        <f>AND($G$6=8,I15&lt;10)</f>
        <v>0</v>
      </c>
      <c r="J16" s="3"/>
      <c r="K16" s="4"/>
      <c r="L16" s="4"/>
      <c r="M16" s="4"/>
      <c r="N16" s="4"/>
      <c r="O16" s="4"/>
      <c r="P16" s="4"/>
    </row>
    <row r="17" spans="1:16" ht="15">
      <c r="A17" s="3"/>
      <c r="D17" s="42">
        <f>IF(G5=0,"",IF(OR(B16,C16,D16,E16,F16,G16,H16,I16),"Caution …Cull Cow Price Needs to be Entered for "&amp;TEXT(A16,0),""))</f>
      </c>
      <c r="E17" s="3"/>
      <c r="F17" s="3"/>
      <c r="G17" s="3"/>
      <c r="H17" s="3"/>
      <c r="I17" s="3"/>
      <c r="J17" s="3"/>
      <c r="K17" s="4"/>
      <c r="L17" s="4"/>
      <c r="M17" s="4"/>
      <c r="N17" s="4"/>
      <c r="O17" s="4"/>
      <c r="P17" s="4"/>
    </row>
    <row r="18" spans="1:16" ht="15">
      <c r="A18" s="17" t="s">
        <v>9</v>
      </c>
      <c r="B18" s="1">
        <f>IF(AND($G$6&gt;=1,B$12&gt;0),ROUND(((($B$5*B13)+($B$6*B14))/100)/2*B$12*0.01,0),0)</f>
        <v>668</v>
      </c>
      <c r="C18" s="1">
        <f>IF(AND($G$6&gt;=2,C$12&gt;0),ROUND(((($B$5*C13)+($B$6*C14))/100)/2*C$12*0.01,0),0)</f>
        <v>717</v>
      </c>
      <c r="D18" s="1">
        <f>IF(AND($G$6&gt;=3,D$12&gt;0),ROUND(((($B$5*D13)+($B$6*D14))/100)/2*D$12*0.01,0),0)</f>
        <v>741</v>
      </c>
      <c r="E18" s="1">
        <f>IF(AND($G$6&gt;=4,E$12&gt;0),ROUND(((($B$5*E13)+($B$6*E14))/100)/2*E$12*0.01,0),0)</f>
        <v>634</v>
      </c>
      <c r="F18" s="1">
        <f>IF(AND($G$6&gt;=5,F$12&gt;0),ROUND(((($B$5*F13)+($B$6*F14))/100)/2*F$12*0.01,0),0)</f>
        <v>634</v>
      </c>
      <c r="G18" s="1">
        <f>IF(AND($G$6&gt;=6,G$12&gt;0),ROUND(((($B$5*G13)+($B$6*G14))/100)/2*G$12*0.01,0),0)</f>
        <v>600</v>
      </c>
      <c r="H18" s="1">
        <f>IF(AND($G$6&gt;=7,H$12&gt;0),ROUND(((($B$5*H13)+($B$6*H14))/100)/2*H$12*0.01,0),0)</f>
        <v>600</v>
      </c>
      <c r="I18" s="1">
        <f>IF(AND($G$6&gt;=8,I$12&gt;0),ROUND(((($B$5*I13)+($B$6*I14))/100)/2*I$12*0.01,0),0)</f>
        <v>0</v>
      </c>
      <c r="J18" s="3"/>
      <c r="K18" s="4"/>
      <c r="L18" s="4"/>
      <c r="M18" s="4"/>
      <c r="N18" s="4"/>
      <c r="O18" s="4"/>
      <c r="P18" s="4"/>
    </row>
    <row r="19" spans="1:16" ht="15">
      <c r="A19" s="3"/>
      <c r="B19" s="3"/>
      <c r="C19" s="3"/>
      <c r="D19" s="3"/>
      <c r="E19" s="3"/>
      <c r="F19" s="3"/>
      <c r="G19" s="3"/>
      <c r="H19" s="3"/>
      <c r="I19" s="3"/>
      <c r="J19" s="3"/>
      <c r="K19" s="4"/>
      <c r="L19" s="4"/>
      <c r="M19" s="4"/>
      <c r="N19" s="4"/>
      <c r="O19" s="4"/>
      <c r="P19" s="4"/>
    </row>
    <row r="20" spans="1:16" ht="15">
      <c r="A20" s="17" t="s">
        <v>10</v>
      </c>
      <c r="B20" s="16">
        <v>400</v>
      </c>
      <c r="C20" s="16">
        <v>550</v>
      </c>
      <c r="D20" s="16">
        <v>550</v>
      </c>
      <c r="E20" s="16">
        <v>550</v>
      </c>
      <c r="F20" s="16">
        <v>550</v>
      </c>
      <c r="G20" s="16">
        <v>550</v>
      </c>
      <c r="H20" s="16">
        <v>550</v>
      </c>
      <c r="I20" s="16">
        <v>550</v>
      </c>
      <c r="J20" s="3"/>
      <c r="K20" s="4"/>
      <c r="L20" s="4"/>
      <c r="M20" s="4"/>
      <c r="N20" s="4"/>
      <c r="O20" s="4"/>
      <c r="P20" s="4"/>
    </row>
    <row r="21" spans="1:16" ht="15">
      <c r="A21" s="3"/>
      <c r="B21" s="3"/>
      <c r="C21" s="3"/>
      <c r="D21" s="3"/>
      <c r="E21" s="3"/>
      <c r="F21" s="3"/>
      <c r="G21" s="3"/>
      <c r="H21" s="3"/>
      <c r="I21" s="3"/>
      <c r="J21" s="3"/>
      <c r="K21" s="4"/>
      <c r="L21" s="4"/>
      <c r="M21" s="4"/>
      <c r="N21" s="4"/>
      <c r="O21" s="4"/>
      <c r="P21" s="4"/>
    </row>
    <row r="22" spans="1:16" ht="15">
      <c r="A22" s="17" t="s">
        <v>11</v>
      </c>
      <c r="B22" s="1">
        <f>IF(G6&gt;=1,+B18-B20,0)</f>
        <v>268</v>
      </c>
      <c r="C22" s="1">
        <f>IF(G6&gt;=2,+C18-C20,0)</f>
        <v>167</v>
      </c>
      <c r="D22" s="1">
        <f>IF(G6&gt;=3,+D18-D20,0)</f>
        <v>191</v>
      </c>
      <c r="E22" s="1">
        <f>IF(G6&gt;=4,+E18-E20,0)</f>
        <v>84</v>
      </c>
      <c r="F22" s="1">
        <f>IF(G6&gt;=5,+F18-F20,0)</f>
        <v>84</v>
      </c>
      <c r="G22" s="1">
        <f>IF(G6&gt;=6,+G18-G20,0)</f>
        <v>50</v>
      </c>
      <c r="H22" s="1">
        <f>IF(G6&gt;=7,+H18-H20,0)</f>
        <v>50</v>
      </c>
      <c r="I22" s="1">
        <f>IF(G6&gt;=8,+I18-I20,0)</f>
        <v>0</v>
      </c>
      <c r="J22" s="3"/>
      <c r="K22" s="4"/>
      <c r="L22" s="4"/>
      <c r="M22" s="4"/>
      <c r="N22" s="4"/>
      <c r="O22" s="4"/>
      <c r="P22" s="4"/>
    </row>
    <row r="23" spans="1:16" ht="15">
      <c r="A23" s="17"/>
      <c r="B23" s="1"/>
      <c r="C23" s="1"/>
      <c r="D23" s="1"/>
      <c r="E23" s="1"/>
      <c r="F23" s="1"/>
      <c r="G23" s="1"/>
      <c r="H23" s="1"/>
      <c r="I23" s="3"/>
      <c r="J23" s="3"/>
      <c r="K23" s="4"/>
      <c r="L23" s="4"/>
      <c r="M23" s="4"/>
      <c r="N23" s="4"/>
      <c r="O23" s="4"/>
      <c r="P23" s="4"/>
    </row>
    <row r="24" spans="1:16" ht="15" hidden="1">
      <c r="A24" s="17" t="s">
        <v>26</v>
      </c>
      <c r="B24" s="36">
        <f>IF(G6=1,ROUND(+B15*$G$5/100,2),0)</f>
        <v>0</v>
      </c>
      <c r="C24" s="36">
        <f>IF(G6=2,ROUND(+C15*$G$5/100,2),0)</f>
        <v>0</v>
      </c>
      <c r="D24" s="36">
        <f>IF(G6=3,ROUND(+D15*$G$5/100,2),0)</f>
        <v>0</v>
      </c>
      <c r="E24" s="36">
        <f>IF(G6=4,ROUND(+E15*$G$5/100,2),0)</f>
        <v>0</v>
      </c>
      <c r="F24" s="36">
        <f>IF(G6=5,ROUND(+F15*$G$5/100,2),0)</f>
        <v>0</v>
      </c>
      <c r="G24" s="36">
        <f>IF(G6=6,ROUND(+G15*$G$5/100,2),0)</f>
        <v>0</v>
      </c>
      <c r="H24" s="36">
        <f>IF(G6=7,ROUND(+H15*$G$5/100,2),0)</f>
        <v>600</v>
      </c>
      <c r="I24" s="10">
        <f>SUM(B24:H24)</f>
        <v>600</v>
      </c>
      <c r="J24" s="3"/>
      <c r="K24" s="4"/>
      <c r="L24" s="4"/>
      <c r="M24" s="4"/>
      <c r="N24" s="4"/>
      <c r="O24" s="4"/>
      <c r="P24" s="4"/>
    </row>
    <row r="25" spans="1:16" ht="15">
      <c r="A25" s="27" t="s">
        <v>31</v>
      </c>
      <c r="B25" s="7"/>
      <c r="C25" s="7"/>
      <c r="D25" s="7"/>
      <c r="E25" s="7"/>
      <c r="F25" s="7"/>
      <c r="G25" s="7"/>
      <c r="H25" s="7"/>
      <c r="I25" s="7"/>
      <c r="J25" s="3"/>
      <c r="K25" s="4"/>
      <c r="L25" s="4"/>
      <c r="M25" s="4"/>
      <c r="N25" s="4"/>
      <c r="O25" s="4"/>
      <c r="P25" s="4"/>
    </row>
    <row r="26" spans="1:16" ht="15">
      <c r="A26" s="3"/>
      <c r="B26" s="3"/>
      <c r="C26" s="3"/>
      <c r="D26" s="3"/>
      <c r="E26" s="3"/>
      <c r="F26" s="3"/>
      <c r="G26" s="3"/>
      <c r="H26" s="3"/>
      <c r="I26" s="3"/>
      <c r="J26" s="3"/>
      <c r="K26" s="4"/>
      <c r="L26" s="4"/>
      <c r="M26" s="4"/>
      <c r="N26" s="4"/>
      <c r="O26" s="4"/>
      <c r="P26" s="4"/>
    </row>
    <row r="27" spans="1:16" ht="15.75">
      <c r="A27" s="17" t="s">
        <v>12</v>
      </c>
      <c r="B27" s="34">
        <v>0</v>
      </c>
      <c r="C27" s="8" t="s">
        <v>13</v>
      </c>
      <c r="D27" s="9">
        <f>ROUND(B27*B7*0.01,2)</f>
        <v>0</v>
      </c>
      <c r="E27" s="3" t="s">
        <v>14</v>
      </c>
      <c r="F27" s="3"/>
      <c r="G27" s="3"/>
      <c r="H27" s="3"/>
      <c r="I27" s="3"/>
      <c r="J27" s="3"/>
      <c r="K27" s="4"/>
      <c r="L27" s="4"/>
      <c r="M27" s="4"/>
      <c r="N27" s="4"/>
      <c r="O27" s="4"/>
      <c r="P27" s="4"/>
    </row>
    <row r="28" spans="1:16" ht="15">
      <c r="A28" s="3"/>
      <c r="B28" s="3"/>
      <c r="C28" s="3"/>
      <c r="D28" s="3"/>
      <c r="E28" s="3"/>
      <c r="F28" s="3"/>
      <c r="G28" s="3"/>
      <c r="H28" s="3"/>
      <c r="I28" s="3"/>
      <c r="J28" s="3"/>
      <c r="K28" s="4"/>
      <c r="L28" s="4"/>
      <c r="M28" s="4"/>
      <c r="N28" s="4"/>
      <c r="O28" s="4"/>
      <c r="P28" s="4"/>
    </row>
    <row r="29" spans="1:16" ht="15">
      <c r="A29" s="17" t="s">
        <v>15</v>
      </c>
      <c r="B29" s="35">
        <v>0</v>
      </c>
      <c r="C29" s="42">
        <f>IF(B29&gt;7," Error !! The maximum length of the note the model can analyze is seven years!!","")</f>
      </c>
      <c r="D29" s="3"/>
      <c r="E29" s="3"/>
      <c r="F29" s="3"/>
      <c r="G29" s="3"/>
      <c r="H29" s="3"/>
      <c r="I29" s="3"/>
      <c r="J29" s="3"/>
      <c r="K29" s="4"/>
      <c r="L29" s="4"/>
      <c r="M29" s="4"/>
      <c r="N29" s="4"/>
      <c r="O29" s="4"/>
      <c r="P29" s="4"/>
    </row>
    <row r="30" spans="1:16" ht="15">
      <c r="A30" s="3"/>
      <c r="B30" s="3"/>
      <c r="C30" s="3"/>
      <c r="D30" s="3"/>
      <c r="E30" s="3"/>
      <c r="F30" s="3"/>
      <c r="G30" s="3"/>
      <c r="H30" s="3"/>
      <c r="I30" s="3"/>
      <c r="J30" s="3"/>
      <c r="K30" s="4"/>
      <c r="L30" s="4"/>
      <c r="M30" s="4"/>
      <c r="N30" s="4"/>
      <c r="O30" s="4"/>
      <c r="P30" s="4"/>
    </row>
    <row r="31" spans="1:16" ht="15">
      <c r="A31" s="17" t="s">
        <v>16</v>
      </c>
      <c r="B31" s="29">
        <v>0</v>
      </c>
      <c r="C31" s="3"/>
      <c r="D31" s="3"/>
      <c r="E31" s="3"/>
      <c r="F31" s="3"/>
      <c r="G31" s="3"/>
      <c r="H31" s="3"/>
      <c r="I31" s="3"/>
      <c r="J31" s="3"/>
      <c r="K31" s="4"/>
      <c r="L31" s="4"/>
      <c r="M31" s="4"/>
      <c r="N31" s="4"/>
      <c r="O31" s="4"/>
      <c r="P31" s="4"/>
    </row>
    <row r="32" spans="1:16" ht="15">
      <c r="A32" s="3"/>
      <c r="B32" s="3"/>
      <c r="C32" s="3"/>
      <c r="D32" s="3"/>
      <c r="E32" s="3"/>
      <c r="F32" s="3"/>
      <c r="G32" s="3"/>
      <c r="H32" s="3"/>
      <c r="I32" s="18" t="s">
        <v>17</v>
      </c>
      <c r="J32" s="3"/>
      <c r="K32" s="4"/>
      <c r="L32" s="4"/>
      <c r="M32" s="4"/>
      <c r="N32" s="4"/>
      <c r="O32" s="4"/>
      <c r="P32" s="4"/>
    </row>
    <row r="33" spans="1:16" ht="15">
      <c r="A33" s="17" t="s">
        <v>18</v>
      </c>
      <c r="B33" s="10">
        <f>IF(G6&lt;1,0,IF(B29&gt;=1,ROUND(IPMT(B31*0.01,1,B29,-(((1-B27*0.01)*B7))),2),0))</f>
        <v>0</v>
      </c>
      <c r="C33" s="10">
        <f>IF(G6&lt;2,0,IF(B29&gt;=2,ROUND(IPMT(B31*0.01,2,B29,-(((1-B27*0.01)*B7))),2),0))</f>
        <v>0</v>
      </c>
      <c r="D33" s="10">
        <f>IF(G6&lt;3,0,IF(B29&gt;=3,ROUND(IPMT(B31*0.01,3,B29,-(((1-B27*0.01)*B7))),2),0))</f>
        <v>0</v>
      </c>
      <c r="E33" s="10">
        <f>IF(G6&lt;4,0,IF(B29&gt;=4,ROUND(IPMT(B31*0.01,4,B29,-(((1-B27*0.01)*B7))),2),0))</f>
        <v>0</v>
      </c>
      <c r="F33" s="10">
        <f>IF(G6&lt;5,0,IF(B29&gt;=5,ROUND(IPMT(B31*0.01,5,B29,-(((1-B27*0.01)*B7))),2),0))</f>
        <v>0</v>
      </c>
      <c r="G33" s="10">
        <f>IF(G6&lt;6,0,IF(B29&gt;=6,ROUND(IPMT(B31*0.01,6,B29,-(((1-B27*0.01)*B7))),2),0))</f>
        <v>0</v>
      </c>
      <c r="H33" s="10">
        <f>IF(G6&lt;0,0,IF(B29&gt;=7,ROUND(IPMT(B31*0.01,7,B29,-(((1-B27*0.01)*B7))),2),0))</f>
        <v>0</v>
      </c>
      <c r="I33" s="22">
        <f>SUM(B33:H33)</f>
        <v>0</v>
      </c>
      <c r="J33" s="3"/>
      <c r="K33" s="4"/>
      <c r="L33" s="4"/>
      <c r="M33" s="4"/>
      <c r="N33" s="4"/>
      <c r="O33" s="4"/>
      <c r="P33" s="4"/>
    </row>
    <row r="34" spans="1:16" ht="15.75" thickBot="1">
      <c r="A34" s="21" t="s">
        <v>19</v>
      </c>
      <c r="B34" s="11">
        <f>IF(G6=1,SUM(B83:H83),IF(G6&gt;1,+B83,0))</f>
        <v>0</v>
      </c>
      <c r="C34" s="11">
        <f>IF(G6=2,SUM(C83:H83),IF(G6&gt;2,+C83,0))</f>
        <v>0</v>
      </c>
      <c r="D34" s="11">
        <f>IF(G6=3,SUM(D83:H83),IF(G6&gt;3,+D83,0))</f>
        <v>0</v>
      </c>
      <c r="E34" s="11">
        <f>IF(G6=4,SUM(E83:H83),IF(G6&gt;4,+E83,0))</f>
        <v>0</v>
      </c>
      <c r="F34" s="11">
        <f>IF(G6=5,SUM(F83:H83),IF(G6&gt;5,+F83,0))</f>
        <v>0</v>
      </c>
      <c r="G34" s="11">
        <f>IF(G6=6,SUM(G83:H83),IF(G6&gt;6,+G83,0))</f>
        <v>0</v>
      </c>
      <c r="H34" s="11">
        <f>H83</f>
        <v>0</v>
      </c>
      <c r="I34" s="23">
        <f>SUM(B34:H34)</f>
        <v>0</v>
      </c>
      <c r="J34" s="3"/>
      <c r="K34" s="4"/>
      <c r="L34" s="4"/>
      <c r="M34" s="4"/>
      <c r="N34" s="4"/>
      <c r="O34" s="4"/>
      <c r="P34" s="4"/>
    </row>
    <row r="35" spans="1:16" ht="15.75" thickTop="1">
      <c r="A35" s="17" t="s">
        <v>20</v>
      </c>
      <c r="B35" s="10">
        <f>IF(G6&gt;=1,+B33+B34,0)</f>
        <v>0</v>
      </c>
      <c r="C35" s="10">
        <f>IF(G6&gt;=2,+C33+C34,0)</f>
        <v>0</v>
      </c>
      <c r="D35" s="10">
        <f>IF(G6&gt;=3,+D33+D34,0)</f>
        <v>0</v>
      </c>
      <c r="E35" s="10">
        <f>IF(G6&gt;=4,+E33+E34,0)</f>
        <v>0</v>
      </c>
      <c r="F35" s="10">
        <f>IF(G6&gt;=5,+F33+F34,0)</f>
        <v>0</v>
      </c>
      <c r="G35" s="10">
        <f>IF(G6&gt;=7,+G33+G34,0)</f>
        <v>0</v>
      </c>
      <c r="H35" s="10">
        <f>IF(G6&gt;=7,+H33+H34,0)</f>
        <v>0</v>
      </c>
      <c r="I35" s="3"/>
      <c r="J35" s="3"/>
      <c r="K35" s="4"/>
      <c r="L35" s="4"/>
      <c r="M35" s="4"/>
      <c r="N35" s="4"/>
      <c r="O35" s="4"/>
      <c r="P35" s="4"/>
    </row>
    <row r="36" spans="1:16" ht="15.75">
      <c r="A36" s="2"/>
      <c r="B36" s="3"/>
      <c r="C36" s="3"/>
      <c r="D36" s="3"/>
      <c r="E36" s="3"/>
      <c r="F36" s="3"/>
      <c r="G36" s="3"/>
      <c r="H36" s="3"/>
      <c r="I36" s="3"/>
      <c r="J36" s="3"/>
      <c r="K36" s="4"/>
      <c r="L36" s="4"/>
      <c r="M36" s="4"/>
      <c r="N36" s="4"/>
      <c r="O36" s="4"/>
      <c r="P36" s="4"/>
    </row>
    <row r="37" spans="1:16" ht="15" hidden="1">
      <c r="A37" s="17" t="s">
        <v>21</v>
      </c>
      <c r="B37" s="29">
        <v>15</v>
      </c>
      <c r="C37" s="29">
        <v>25.5</v>
      </c>
      <c r="D37" s="29">
        <v>17.85</v>
      </c>
      <c r="E37" s="29">
        <v>16.66</v>
      </c>
      <c r="F37" s="29">
        <v>16.66</v>
      </c>
      <c r="G37" s="29">
        <v>8.33</v>
      </c>
      <c r="H37" s="29">
        <v>0</v>
      </c>
      <c r="I37" s="29">
        <v>0</v>
      </c>
      <c r="J37" s="3"/>
      <c r="K37" s="4"/>
      <c r="L37" s="4"/>
      <c r="M37" s="4"/>
      <c r="N37" s="4"/>
      <c r="O37" s="4"/>
      <c r="P37" s="4"/>
    </row>
    <row r="38" spans="1:16" ht="15" hidden="1">
      <c r="A38" s="17" t="s">
        <v>22</v>
      </c>
      <c r="B38" s="1">
        <f>IF(G6&gt;=1,ROUND((+$B$7-$I$24)*B37*0.01,2),0)</f>
        <v>89.25</v>
      </c>
      <c r="C38" s="1">
        <f>IF(G6&gt;=2,ROUND((+$B$7-$I$24)*C37*0.01,2),0)</f>
        <v>151.73</v>
      </c>
      <c r="D38" s="1">
        <f>IF(G6&gt;=3,ROUND((+$B$7-$I$24)*D37*0.01,2),0)</f>
        <v>106.21</v>
      </c>
      <c r="E38" s="1">
        <f>IF(G6&gt;=4,ROUND((+$B$7-$I$24)*E37*0.01,2),0)</f>
        <v>99.13</v>
      </c>
      <c r="F38" s="1">
        <f>IF(G6&gt;=5,ROUND((+$B$7-$I$24)*F37*0.01,2),0)</f>
        <v>99.13</v>
      </c>
      <c r="G38" s="1">
        <f>IF(G6&gt;=6,ROUND((+$B$7-$I$24)*G37*0.01,2),0)</f>
        <v>49.56</v>
      </c>
      <c r="H38" s="1">
        <f>IF(G6&gt;=7,ROUND((+$B$7-$I$24)*H37*0.01,2),0)</f>
        <v>0</v>
      </c>
      <c r="I38" s="1">
        <f>IF(C7&gt;=7,ROUND((+$B$7-$I$24)*I37*0.01,2),0)</f>
        <v>0</v>
      </c>
      <c r="J38" s="3"/>
      <c r="K38" s="4"/>
      <c r="L38" s="4"/>
      <c r="M38" s="4"/>
      <c r="N38" s="4"/>
      <c r="O38" s="4"/>
      <c r="P38" s="4"/>
    </row>
    <row r="39" spans="1:16" ht="15.75" hidden="1">
      <c r="A39" s="2"/>
      <c r="B39" s="12"/>
      <c r="C39" s="37">
        <f>IF(SUM(B37:H37)&gt;100,"Caution..you have entered more than 100% depreciation!!!","")</f>
      </c>
      <c r="E39" s="12"/>
      <c r="F39" s="12"/>
      <c r="G39" s="12"/>
      <c r="H39" s="3"/>
      <c r="I39" s="3"/>
      <c r="J39" s="3"/>
      <c r="K39" s="4"/>
      <c r="L39" s="4"/>
      <c r="M39" s="4"/>
      <c r="N39" s="4"/>
      <c r="O39" s="4"/>
      <c r="P39" s="4"/>
    </row>
    <row r="40" spans="1:16" ht="15">
      <c r="A40" s="17" t="s">
        <v>23</v>
      </c>
      <c r="B40" s="3"/>
      <c r="C40" s="3"/>
      <c r="D40" s="3"/>
      <c r="E40" s="3"/>
      <c r="F40" s="3"/>
      <c r="G40" s="3"/>
      <c r="H40" s="3"/>
      <c r="I40" s="3"/>
      <c r="J40" s="3"/>
      <c r="K40" s="4"/>
      <c r="L40" s="4"/>
      <c r="M40" s="4"/>
      <c r="N40" s="4"/>
      <c r="O40" s="4"/>
      <c r="P40" s="4"/>
    </row>
    <row r="41" spans="1:16" ht="15">
      <c r="A41" s="17" t="s">
        <v>24</v>
      </c>
      <c r="B41" s="1">
        <f>IF(G6&gt;=1,+B22,0)</f>
        <v>268</v>
      </c>
      <c r="C41" s="1">
        <f>IF(G6&gt;=2,+C22,0)</f>
        <v>167</v>
      </c>
      <c r="D41" s="1">
        <f>IF(G6&gt;=3,+D22,0)</f>
        <v>191</v>
      </c>
      <c r="E41" s="1">
        <f>IF(G6&gt;=4,+E22,0)</f>
        <v>84</v>
      </c>
      <c r="F41" s="1">
        <f>IF(G6&gt;=5,+F22,0)</f>
        <v>84</v>
      </c>
      <c r="G41" s="1">
        <f>IF(G6&gt;=6,+G22,0)</f>
        <v>50</v>
      </c>
      <c r="H41" s="1">
        <f>IF(G6&gt;=7,+H22,0)</f>
        <v>50</v>
      </c>
      <c r="I41" s="1">
        <f>IF(G6&gt;=7,+I22,0)</f>
        <v>0</v>
      </c>
      <c r="J41" s="3"/>
      <c r="K41" s="4"/>
      <c r="L41" s="4"/>
      <c r="M41" s="4"/>
      <c r="N41" s="4"/>
      <c r="O41" s="4"/>
      <c r="P41" s="4"/>
    </row>
    <row r="42" spans="1:16" ht="15">
      <c r="A42" s="3"/>
      <c r="B42" s="3"/>
      <c r="C42" s="3"/>
      <c r="D42" s="3"/>
      <c r="E42" s="3"/>
      <c r="F42" s="3"/>
      <c r="G42" s="3"/>
      <c r="H42" s="3"/>
      <c r="I42" s="3"/>
      <c r="J42" s="3"/>
      <c r="K42" s="4"/>
      <c r="L42" s="4"/>
      <c r="M42" s="4"/>
      <c r="N42" s="4"/>
      <c r="O42" s="4"/>
      <c r="P42" s="4"/>
    </row>
    <row r="43" spans="1:16" ht="15">
      <c r="A43" s="17" t="s">
        <v>25</v>
      </c>
      <c r="B43" s="1">
        <f aca="true" t="shared" si="0" ref="B43:H43">B41-B35</f>
        <v>268</v>
      </c>
      <c r="C43" s="1">
        <f t="shared" si="0"/>
        <v>167</v>
      </c>
      <c r="D43" s="1">
        <f t="shared" si="0"/>
        <v>191</v>
      </c>
      <c r="E43" s="1">
        <f t="shared" si="0"/>
        <v>84</v>
      </c>
      <c r="F43" s="1">
        <f t="shared" si="0"/>
        <v>84</v>
      </c>
      <c r="G43" s="1">
        <f t="shared" si="0"/>
        <v>50</v>
      </c>
      <c r="H43" s="1">
        <f t="shared" si="0"/>
        <v>50</v>
      </c>
      <c r="I43" s="1">
        <f>I41</f>
        <v>0</v>
      </c>
      <c r="J43" s="3"/>
      <c r="K43" s="4"/>
      <c r="L43" s="4"/>
      <c r="M43" s="4"/>
      <c r="N43" s="4"/>
      <c r="O43" s="4"/>
      <c r="P43" s="4"/>
    </row>
    <row r="44" spans="1:16" ht="15">
      <c r="A44" s="3"/>
      <c r="B44" s="3"/>
      <c r="C44" s="3"/>
      <c r="D44" s="3"/>
      <c r="E44" s="3"/>
      <c r="F44" s="3"/>
      <c r="G44" s="3"/>
      <c r="H44" s="3"/>
      <c r="I44" s="3"/>
      <c r="J44" s="3"/>
      <c r="K44" s="4"/>
      <c r="L44" s="4"/>
      <c r="M44" s="4"/>
      <c r="N44" s="4"/>
      <c r="O44" s="4"/>
      <c r="P44" s="4"/>
    </row>
    <row r="45" spans="1:16" ht="15">
      <c r="A45" s="17" t="s">
        <v>26</v>
      </c>
      <c r="B45" s="36">
        <f>IF(G6=1,ROUND(+B15*$G$5/100,2),0)</f>
        <v>0</v>
      </c>
      <c r="C45" s="36">
        <f>IF(G6=2,ROUND(+C15*$G$5/100,2),0)</f>
        <v>0</v>
      </c>
      <c r="D45" s="36">
        <f>IF(G6=3,ROUND(+D15*$G$5/100,2),0)</f>
        <v>0</v>
      </c>
      <c r="E45" s="36">
        <f>IF(G6=4,ROUND(+E15*$G$5/100,2),0)</f>
        <v>0</v>
      </c>
      <c r="F45" s="36">
        <f>IF(G6=5,ROUND(+F15*$G$5/100,2),0)</f>
        <v>0</v>
      </c>
      <c r="G45" s="36">
        <f>IF(G6=6,ROUND(+G15*$G$5/100,2),0)</f>
        <v>0</v>
      </c>
      <c r="H45" s="36">
        <f>IF(G6=7,ROUND(+H15*$G$5/100,2),0)</f>
        <v>600</v>
      </c>
      <c r="I45" s="36">
        <f>IF(G6=8,ROUND(+I15*$G$5/100,2),0)</f>
        <v>0</v>
      </c>
      <c r="J45" s="3"/>
      <c r="K45" s="4"/>
      <c r="L45" s="4"/>
      <c r="M45" s="4"/>
      <c r="N45" s="4"/>
      <c r="O45" s="4"/>
      <c r="P45" s="4"/>
    </row>
    <row r="46" spans="1:16" ht="15">
      <c r="A46" s="3"/>
      <c r="B46" s="3"/>
      <c r="C46" s="3"/>
      <c r="D46" s="3"/>
      <c r="E46" s="3"/>
      <c r="F46" s="3"/>
      <c r="G46" s="3"/>
      <c r="H46" s="3"/>
      <c r="I46" s="3"/>
      <c r="J46" s="3"/>
      <c r="K46" s="4"/>
      <c r="L46" s="4"/>
      <c r="M46" s="4"/>
      <c r="N46" s="4"/>
      <c r="O46" s="4"/>
      <c r="P46" s="4"/>
    </row>
    <row r="47" spans="1:16" ht="15">
      <c r="A47" s="3"/>
      <c r="B47" s="1"/>
      <c r="D47" s="3"/>
      <c r="E47" s="3"/>
      <c r="F47" s="3"/>
      <c r="G47" s="3"/>
      <c r="H47" s="3"/>
      <c r="I47" s="3"/>
      <c r="J47" s="3"/>
      <c r="K47" s="4"/>
      <c r="L47" s="4"/>
      <c r="M47" s="4"/>
      <c r="N47" s="4"/>
      <c r="O47" s="4"/>
      <c r="P47" s="4"/>
    </row>
    <row r="48" spans="1:16" ht="15.75">
      <c r="A48" s="3"/>
      <c r="B48" s="1"/>
      <c r="C48" s="2"/>
      <c r="D48" s="38" t="s">
        <v>39</v>
      </c>
      <c r="E48" s="3"/>
      <c r="F48" s="3"/>
      <c r="G48" s="3"/>
      <c r="H48" s="3"/>
      <c r="I48" s="25"/>
      <c r="J48" s="3"/>
      <c r="K48" s="4"/>
      <c r="L48" s="4"/>
      <c r="M48" s="4"/>
      <c r="N48" s="4"/>
      <c r="O48" s="4"/>
      <c r="P48" s="4"/>
    </row>
    <row r="49" spans="1:16" ht="15.75" thickBot="1">
      <c r="A49" s="24" t="s">
        <v>27</v>
      </c>
      <c r="B49" s="24" t="s">
        <v>28</v>
      </c>
      <c r="C49" s="24" t="str">
        <f>IF(G6&gt;=2,"Year 2","")</f>
        <v>Year 2</v>
      </c>
      <c r="D49" s="24" t="str">
        <f>IF(G6&gt;=3,"Year 3","")</f>
        <v>Year 3</v>
      </c>
      <c r="E49" s="24" t="str">
        <f>IF(G6&gt;=4,"Year 4","")</f>
        <v>Year 4</v>
      </c>
      <c r="F49" s="24" t="str">
        <f>IF(G6&gt;=5,"Year 5","")</f>
        <v>Year 5</v>
      </c>
      <c r="G49" s="24" t="str">
        <f>IF(G6&gt;=6,"Year 6","")</f>
        <v>Year 6</v>
      </c>
      <c r="H49" s="43" t="str">
        <f>IF(G6&gt;=7,"Year 7","")</f>
        <v>Year 7</v>
      </c>
      <c r="I49" s="43">
        <f>IF(G6&gt;=8,"Year 8","")</f>
      </c>
      <c r="J49" s="3"/>
      <c r="K49" s="4"/>
      <c r="L49" s="4"/>
      <c r="M49" s="4"/>
      <c r="N49" s="4"/>
      <c r="O49" s="4"/>
      <c r="P49" s="4"/>
    </row>
    <row r="50" spans="1:16" ht="15.75" thickTop="1">
      <c r="A50" s="10">
        <f>IF(B29=0,-B7,-D27)</f>
        <v>-1195</v>
      </c>
      <c r="B50" s="10">
        <f aca="true" t="shared" si="1" ref="B50:I50">B43+B45</f>
        <v>268</v>
      </c>
      <c r="C50" s="10">
        <f t="shared" si="1"/>
        <v>167</v>
      </c>
      <c r="D50" s="10">
        <f t="shared" si="1"/>
        <v>191</v>
      </c>
      <c r="E50" s="10">
        <f t="shared" si="1"/>
        <v>84</v>
      </c>
      <c r="F50" s="10">
        <f t="shared" si="1"/>
        <v>84</v>
      </c>
      <c r="G50" s="10">
        <f t="shared" si="1"/>
        <v>50</v>
      </c>
      <c r="H50" s="10">
        <f t="shared" si="1"/>
        <v>650</v>
      </c>
      <c r="I50" s="10">
        <f t="shared" si="1"/>
        <v>0</v>
      </c>
      <c r="J50" s="3"/>
      <c r="K50" s="4"/>
      <c r="L50" s="4"/>
      <c r="M50" s="4"/>
      <c r="N50" s="4"/>
      <c r="O50" s="4"/>
      <c r="P50" s="4"/>
    </row>
    <row r="51" spans="1:16" ht="15">
      <c r="A51" s="3"/>
      <c r="B51" s="3"/>
      <c r="C51" s="3"/>
      <c r="D51" s="3"/>
      <c r="E51" s="3"/>
      <c r="F51" s="3"/>
      <c r="G51" s="3"/>
      <c r="H51" s="3"/>
      <c r="I51" s="3"/>
      <c r="J51" s="3"/>
      <c r="K51" s="4"/>
      <c r="L51" s="4"/>
      <c r="M51" s="4"/>
      <c r="N51" s="4"/>
      <c r="O51" s="4"/>
      <c r="P51" s="4"/>
    </row>
    <row r="52" spans="1:16" ht="15.75" thickBot="1">
      <c r="A52" s="21" t="s">
        <v>40</v>
      </c>
      <c r="B52" s="13"/>
      <c r="C52" s="13"/>
      <c r="D52" s="13"/>
      <c r="E52" s="13"/>
      <c r="F52" s="13"/>
      <c r="G52" s="13"/>
      <c r="H52" s="13"/>
      <c r="I52" s="13"/>
      <c r="J52" s="3"/>
      <c r="K52" s="4"/>
      <c r="L52" s="4"/>
      <c r="M52" s="4"/>
      <c r="N52" s="4"/>
      <c r="O52" s="4"/>
      <c r="P52" s="4"/>
    </row>
    <row r="53" spans="1:16" ht="15.75" thickTop="1">
      <c r="A53" s="17" t="str">
        <f>IF(I8&lt;0,"The negative net present value indicates that the price of $"&amp;FIXED(B7,0,TRUE)&amp;" per head is too high.","The positive net present value indicates this is an economically feasible investment.")</f>
        <v>The positive net present value indicates this is an economically feasible investment.</v>
      </c>
      <c r="B53" s="3"/>
      <c r="C53" s="3"/>
      <c r="D53" s="3"/>
      <c r="E53" s="3"/>
      <c r="F53" s="3"/>
      <c r="G53" s="3"/>
      <c r="H53" s="3"/>
      <c r="I53" s="3"/>
      <c r="J53" s="3"/>
      <c r="K53" s="4"/>
      <c r="L53" s="4"/>
      <c r="M53" s="4"/>
      <c r="N53" s="4"/>
      <c r="O53" s="4"/>
      <c r="P53" s="4"/>
    </row>
    <row r="54" spans="1:16" ht="15">
      <c r="A54" s="17" t="str">
        <f>"This investment has an internal rate of return of "&amp;FIXED(A79,1,TRUE)&amp;"%."</f>
        <v>This investment has an internal rate of return of 5.2%.</v>
      </c>
      <c r="B54" s="3"/>
      <c r="C54" s="3"/>
      <c r="D54" s="3"/>
      <c r="E54" s="3"/>
      <c r="F54" s="3"/>
      <c r="G54" s="3"/>
      <c r="H54" s="3"/>
      <c r="I54" s="3"/>
      <c r="J54" s="3"/>
      <c r="K54" s="4"/>
      <c r="L54" s="4"/>
      <c r="M54" s="4"/>
      <c r="N54" s="4"/>
      <c r="O54" s="4"/>
      <c r="P54" s="4"/>
    </row>
    <row r="55" spans="1:16" ht="15">
      <c r="A55" s="17" t="str">
        <f>IF(A76="No","This investment does not pay back over this planning horizon",B76)</f>
        <v>This investment has a payback period of 7 years.</v>
      </c>
      <c r="B55" s="3"/>
      <c r="C55" s="3"/>
      <c r="D55" s="3"/>
      <c r="E55" s="3"/>
      <c r="F55" s="3"/>
      <c r="G55" s="3"/>
      <c r="H55" s="3"/>
      <c r="I55" s="3"/>
      <c r="J55" s="3"/>
      <c r="K55" s="4"/>
      <c r="L55" s="4"/>
      <c r="M55" s="4"/>
      <c r="N55" s="4"/>
      <c r="O55" s="4"/>
      <c r="P55" s="4"/>
    </row>
    <row r="56" spans="1:16" ht="15">
      <c r="A56" s="17" t="str">
        <f>IF(SUM(B88:I88)=0,"The positive cash flows across the planning horizon indicate that this investment is financially feasible.",B91)</f>
        <v>The positive cash flows across the planning horizon indicate that this investment is financially feasible.</v>
      </c>
      <c r="B56" s="3"/>
      <c r="C56" s="3"/>
      <c r="D56" s="3"/>
      <c r="E56" s="3"/>
      <c r="F56" s="3"/>
      <c r="G56" s="3"/>
      <c r="H56" s="3"/>
      <c r="I56" s="3"/>
      <c r="J56" s="3"/>
      <c r="K56" s="4"/>
      <c r="L56" s="4"/>
      <c r="M56" s="4"/>
      <c r="N56" s="4"/>
      <c r="O56" s="4"/>
      <c r="P56" s="4"/>
    </row>
    <row r="57" spans="1:16" ht="15">
      <c r="A57" s="3"/>
      <c r="B57" s="3"/>
      <c r="C57" s="3"/>
      <c r="D57" s="3"/>
      <c r="E57" s="3"/>
      <c r="F57" s="3"/>
      <c r="G57" s="3"/>
      <c r="H57" s="3"/>
      <c r="I57" s="3"/>
      <c r="J57" s="3"/>
      <c r="K57" s="4"/>
      <c r="L57" s="4"/>
      <c r="M57" s="4"/>
      <c r="N57" s="4"/>
      <c r="O57" s="4"/>
      <c r="P57" s="4"/>
    </row>
    <row r="58" spans="1:16" ht="15">
      <c r="A58" s="3"/>
      <c r="B58" s="3"/>
      <c r="C58" s="3"/>
      <c r="D58" s="3"/>
      <c r="E58" s="3"/>
      <c r="F58" s="3"/>
      <c r="G58" s="3"/>
      <c r="H58" s="3"/>
      <c r="I58" s="3"/>
      <c r="J58" s="3"/>
      <c r="K58" s="4"/>
      <c r="L58" s="4"/>
      <c r="M58" s="4"/>
      <c r="N58" s="4"/>
      <c r="O58" s="4"/>
      <c r="P58" s="4"/>
    </row>
    <row r="59" spans="1:16" ht="15">
      <c r="A59" s="3"/>
      <c r="B59" s="3"/>
      <c r="C59" s="3"/>
      <c r="D59" s="3"/>
      <c r="E59" s="3"/>
      <c r="F59" s="3"/>
      <c r="G59" s="3"/>
      <c r="H59" s="3"/>
      <c r="I59" s="3"/>
      <c r="J59" s="3"/>
      <c r="K59" s="4"/>
      <c r="L59" s="4"/>
      <c r="M59" s="4"/>
      <c r="N59" s="4"/>
      <c r="O59" s="4"/>
      <c r="P59" s="4"/>
    </row>
    <row r="60" spans="1:16" ht="15">
      <c r="A60" s="3"/>
      <c r="B60" s="3"/>
      <c r="C60" s="3"/>
      <c r="D60" s="3"/>
      <c r="E60" s="3"/>
      <c r="F60" s="3"/>
      <c r="G60" s="3"/>
      <c r="H60" s="3"/>
      <c r="I60" s="3"/>
      <c r="J60" s="3"/>
      <c r="K60" s="4"/>
      <c r="L60" s="4"/>
      <c r="M60" s="4"/>
      <c r="N60" s="4"/>
      <c r="O60" s="4"/>
      <c r="P60" s="4"/>
    </row>
    <row r="61" spans="1:16" ht="15">
      <c r="A61" s="3"/>
      <c r="B61" s="3"/>
      <c r="C61" s="3"/>
      <c r="D61" s="3"/>
      <c r="E61" s="3"/>
      <c r="F61" s="3"/>
      <c r="G61" s="3"/>
      <c r="H61" s="3"/>
      <c r="I61" s="3"/>
      <c r="J61" s="3"/>
      <c r="K61" s="4"/>
      <c r="L61" s="4"/>
      <c r="M61" s="4"/>
      <c r="N61" s="4"/>
      <c r="O61" s="4"/>
      <c r="P61" s="4"/>
    </row>
    <row r="62" spans="1:16" ht="15">
      <c r="A62" s="3"/>
      <c r="B62" s="3"/>
      <c r="C62" s="3"/>
      <c r="D62" s="3"/>
      <c r="E62" s="3"/>
      <c r="F62" s="3"/>
      <c r="G62" s="3"/>
      <c r="H62" s="3"/>
      <c r="I62" s="3"/>
      <c r="J62" s="3"/>
      <c r="K62" s="4"/>
      <c r="L62" s="4"/>
      <c r="M62" s="4"/>
      <c r="N62" s="4"/>
      <c r="O62" s="4"/>
      <c r="P62" s="4"/>
    </row>
    <row r="63" spans="1:16" ht="15">
      <c r="A63" s="3"/>
      <c r="B63" s="3"/>
      <c r="C63" s="3"/>
      <c r="D63" s="3"/>
      <c r="E63" s="3"/>
      <c r="F63" s="3"/>
      <c r="G63" s="3"/>
      <c r="H63" s="3"/>
      <c r="I63" s="3"/>
      <c r="J63" s="3"/>
      <c r="K63" s="4"/>
      <c r="L63" s="4"/>
      <c r="M63" s="4"/>
      <c r="N63" s="4"/>
      <c r="O63" s="4"/>
      <c r="P63" s="4"/>
    </row>
    <row r="64" spans="1:16" ht="15">
      <c r="A64" s="3"/>
      <c r="B64" s="3"/>
      <c r="C64" s="3"/>
      <c r="D64" s="3"/>
      <c r="E64" s="3"/>
      <c r="F64" s="3"/>
      <c r="G64" s="3"/>
      <c r="H64" s="3"/>
      <c r="I64" s="3"/>
      <c r="J64" s="3"/>
      <c r="K64" s="4"/>
      <c r="L64" s="4"/>
      <c r="M64" s="4"/>
      <c r="N64" s="4"/>
      <c r="O64" s="4"/>
      <c r="P64" s="4"/>
    </row>
    <row r="65" spans="1:16" ht="15">
      <c r="A65" s="3"/>
      <c r="B65" s="3"/>
      <c r="C65" s="3"/>
      <c r="D65" s="3"/>
      <c r="E65" s="3"/>
      <c r="F65" s="3"/>
      <c r="G65" s="3"/>
      <c r="H65" s="3"/>
      <c r="I65" s="3"/>
      <c r="J65" s="3"/>
      <c r="K65" s="4"/>
      <c r="L65" s="4"/>
      <c r="M65" s="4"/>
      <c r="N65" s="4"/>
      <c r="O65" s="4"/>
      <c r="P65" s="4"/>
    </row>
    <row r="66" spans="1:16" ht="15">
      <c r="A66" s="3"/>
      <c r="B66" s="3"/>
      <c r="C66" s="3"/>
      <c r="D66" s="3"/>
      <c r="E66" s="3"/>
      <c r="F66" s="3"/>
      <c r="G66" s="3"/>
      <c r="H66" s="3"/>
      <c r="I66" s="3"/>
      <c r="J66" s="3"/>
      <c r="K66" s="4"/>
      <c r="L66" s="4"/>
      <c r="M66" s="4"/>
      <c r="N66" s="4"/>
      <c r="O66" s="4"/>
      <c r="P66" s="4"/>
    </row>
    <row r="67" spans="1:16" ht="15">
      <c r="A67" s="3"/>
      <c r="B67" s="3"/>
      <c r="C67" s="3"/>
      <c r="D67" s="3"/>
      <c r="E67" s="3"/>
      <c r="F67" s="3"/>
      <c r="G67" s="3"/>
      <c r="H67" s="3"/>
      <c r="I67" s="3"/>
      <c r="J67" s="3"/>
      <c r="K67" s="4"/>
      <c r="L67" s="4"/>
      <c r="M67" s="4"/>
      <c r="N67" s="4"/>
      <c r="O67" s="4"/>
      <c r="P67" s="4"/>
    </row>
    <row r="68" spans="1:16" ht="15">
      <c r="A68" s="3"/>
      <c r="B68" s="3"/>
      <c r="C68" s="3"/>
      <c r="D68" s="3"/>
      <c r="E68" s="3"/>
      <c r="F68" s="3"/>
      <c r="G68" s="3"/>
      <c r="H68" s="3"/>
      <c r="I68" s="3"/>
      <c r="J68" s="3"/>
      <c r="K68" s="4"/>
      <c r="L68" s="4"/>
      <c r="M68" s="4"/>
      <c r="N68" s="4"/>
      <c r="O68" s="4"/>
      <c r="P68" s="4"/>
    </row>
    <row r="69" spans="1:16" ht="15">
      <c r="A69" s="3"/>
      <c r="B69" s="3"/>
      <c r="C69" s="3"/>
      <c r="D69" s="3"/>
      <c r="E69" s="3"/>
      <c r="F69" s="3"/>
      <c r="G69" s="3"/>
      <c r="H69" s="3"/>
      <c r="I69" s="3"/>
      <c r="J69" s="3"/>
      <c r="K69" s="4"/>
      <c r="L69" s="4"/>
      <c r="M69" s="4"/>
      <c r="N69" s="4"/>
      <c r="O69" s="4"/>
      <c r="P69" s="4"/>
    </row>
    <row r="70" spans="1:16" ht="15">
      <c r="A70" s="3"/>
      <c r="B70" s="3"/>
      <c r="C70" s="3"/>
      <c r="D70" s="3"/>
      <c r="E70" s="3"/>
      <c r="F70" s="3"/>
      <c r="G70" s="3"/>
      <c r="H70" s="3"/>
      <c r="I70" s="3"/>
      <c r="J70" s="3"/>
      <c r="K70" s="4"/>
      <c r="L70" s="4"/>
      <c r="M70" s="4"/>
      <c r="N70" s="4"/>
      <c r="O70" s="4"/>
      <c r="P70" s="4"/>
    </row>
    <row r="71" spans="1:16" ht="15" hidden="1">
      <c r="A71" s="3"/>
      <c r="B71" s="3"/>
      <c r="C71" s="3"/>
      <c r="D71" s="3"/>
      <c r="E71" s="3"/>
      <c r="F71" s="3"/>
      <c r="G71" s="3"/>
      <c r="H71" s="3"/>
      <c r="I71" s="3"/>
      <c r="J71" s="3"/>
      <c r="K71" s="4"/>
      <c r="L71" s="4"/>
      <c r="M71" s="4"/>
      <c r="N71" s="4"/>
      <c r="O71" s="4"/>
      <c r="P71" s="4"/>
    </row>
    <row r="72" spans="1:16" ht="15" hidden="1">
      <c r="A72" s="3"/>
      <c r="B72" s="3"/>
      <c r="C72" s="3"/>
      <c r="D72" s="3"/>
      <c r="E72" s="3"/>
      <c r="F72" s="3"/>
      <c r="G72" s="3"/>
      <c r="H72" s="3"/>
      <c r="I72" s="3"/>
      <c r="J72" s="3"/>
      <c r="K72" s="4"/>
      <c r="L72" s="4"/>
      <c r="M72" s="4"/>
      <c r="N72" s="4"/>
      <c r="O72" s="4"/>
      <c r="P72" s="4"/>
    </row>
    <row r="73" spans="1:16" ht="15" hidden="1">
      <c r="A73" s="3" t="s">
        <v>32</v>
      </c>
      <c r="B73" s="41">
        <f>IF(SUM(A50:B50)&gt;0,1,99)</f>
        <v>99</v>
      </c>
      <c r="C73" s="41">
        <f>IF(SUM(A50:C50)&gt;0,2,99)</f>
        <v>99</v>
      </c>
      <c r="D73" s="41">
        <f>IF(SUM(A50:D50)&gt;0,3,99)</f>
        <v>99</v>
      </c>
      <c r="E73" s="41">
        <f>IF(SUM(A50:E50)&gt;0,4,99)</f>
        <v>99</v>
      </c>
      <c r="F73" s="41">
        <f>IF(SUM(A50:F50)&gt;0,5,99)</f>
        <v>99</v>
      </c>
      <c r="G73" s="41">
        <f>IF(SUM(A50:G50)&gt;0,6,99)</f>
        <v>99</v>
      </c>
      <c r="H73" s="41">
        <f>IF(SUM(A50:H50)&gt;0,7,99)</f>
        <v>7</v>
      </c>
      <c r="I73" s="41">
        <f>IF(SUM(A50:I50)&gt;0,8,99)</f>
        <v>8</v>
      </c>
      <c r="J73" s="3"/>
      <c r="K73" s="4"/>
      <c r="L73" s="4"/>
      <c r="M73" s="4"/>
      <c r="N73" s="4"/>
      <c r="O73" s="4"/>
      <c r="P73" s="4"/>
    </row>
    <row r="74" spans="1:16" ht="15" hidden="1">
      <c r="A74" s="3"/>
      <c r="B74" s="3"/>
      <c r="C74" s="3"/>
      <c r="D74" s="3"/>
      <c r="E74" s="3"/>
      <c r="F74" s="3"/>
      <c r="G74" s="3"/>
      <c r="H74" s="3"/>
      <c r="I74" s="3"/>
      <c r="J74" s="3"/>
      <c r="K74" s="4"/>
      <c r="L74" s="4"/>
      <c r="M74" s="4"/>
      <c r="N74" s="4"/>
      <c r="O74" s="4"/>
      <c r="P74" s="4"/>
    </row>
    <row r="75" spans="1:16" ht="15" hidden="1">
      <c r="A75" s="7" t="s">
        <v>29</v>
      </c>
      <c r="B75" s="3"/>
      <c r="C75" s="3"/>
      <c r="D75" s="3"/>
      <c r="E75" s="3"/>
      <c r="F75" s="3"/>
      <c r="G75" s="3"/>
      <c r="H75" s="3"/>
      <c r="I75" s="3"/>
      <c r="J75" s="3"/>
      <c r="K75" s="4"/>
      <c r="L75" s="4"/>
      <c r="M75" s="4"/>
      <c r="N75" s="4"/>
      <c r="O75" s="4"/>
      <c r="P75" s="4"/>
    </row>
    <row r="76" spans="1:16" ht="15" hidden="1">
      <c r="A76" s="3">
        <f>IF(MIN(B73:I73)=99,"No",MIN(B73:I73))</f>
        <v>7</v>
      </c>
      <c r="B76" s="3" t="str">
        <f>IF(A76="No","This investment does not pay back over the planning horizon","This investment has a payback period of "&amp;A76&amp;" years.")</f>
        <v>This investment has a payback period of 7 years.</v>
      </c>
      <c r="C76" s="3"/>
      <c r="D76" s="3"/>
      <c r="E76" s="3"/>
      <c r="F76" s="3"/>
      <c r="G76" s="3"/>
      <c r="H76" s="3"/>
      <c r="I76" s="3"/>
      <c r="J76" s="3"/>
      <c r="K76" s="4"/>
      <c r="L76" s="4"/>
      <c r="M76" s="4"/>
      <c r="N76" s="4"/>
      <c r="O76" s="4"/>
      <c r="P76" s="4"/>
    </row>
    <row r="77" spans="1:16" ht="15" hidden="1">
      <c r="A77" s="3">
        <f>SUM(B50:I50)/B7</f>
        <v>1.2502092050209206</v>
      </c>
      <c r="B77" s="3"/>
      <c r="C77" s="3"/>
      <c r="D77" s="3"/>
      <c r="E77" s="3"/>
      <c r="F77" s="3"/>
      <c r="G77" s="3"/>
      <c r="H77" s="3"/>
      <c r="I77" s="3"/>
      <c r="J77" s="3"/>
      <c r="K77" s="4"/>
      <c r="L77" s="4"/>
      <c r="M77" s="4"/>
      <c r="N77" s="4"/>
      <c r="O77" s="4"/>
      <c r="P77" s="4"/>
    </row>
    <row r="78" spans="1:16" ht="15" hidden="1">
      <c r="A78" s="41" t="e">
        <f>ROUND(IRR(A50:I50,+A77),3)*100</f>
        <v>#DIV/0!</v>
      </c>
      <c r="B78" s="3"/>
      <c r="C78" s="3">
        <f>_xlfn.IFERROR(A78,1)</f>
        <v>1</v>
      </c>
      <c r="D78" s="14"/>
      <c r="E78" s="3"/>
      <c r="F78" s="3"/>
      <c r="G78" s="3"/>
      <c r="H78" s="3"/>
      <c r="I78" s="3"/>
      <c r="J78" s="3"/>
      <c r="K78" s="4"/>
      <c r="L78" s="4"/>
      <c r="M78" s="4"/>
      <c r="N78" s="4"/>
      <c r="O78" s="4"/>
      <c r="P78" s="4"/>
    </row>
    <row r="79" spans="1:16" ht="15" hidden="1">
      <c r="A79" s="45">
        <f>IF(C78=1,ROUND(IRR(A50:I50,1),3)*100,A78)</f>
        <v>5.2</v>
      </c>
      <c r="B79" s="3"/>
      <c r="C79" s="3"/>
      <c r="D79" s="14"/>
      <c r="E79" s="3"/>
      <c r="F79" s="3"/>
      <c r="G79" s="3"/>
      <c r="H79" s="3"/>
      <c r="I79" s="3"/>
      <c r="J79" s="3"/>
      <c r="K79" s="4"/>
      <c r="L79" s="4"/>
      <c r="M79" s="4"/>
      <c r="N79" s="4"/>
      <c r="O79" s="4"/>
      <c r="P79" s="4"/>
    </row>
    <row r="80" spans="1:16" ht="15" hidden="1">
      <c r="A80" s="3"/>
      <c r="B80" s="3"/>
      <c r="C80" s="3"/>
      <c r="D80" s="3"/>
      <c r="E80" s="3"/>
      <c r="F80" s="3"/>
      <c r="G80" s="3"/>
      <c r="H80" s="3"/>
      <c r="I80" s="3"/>
      <c r="J80" s="3"/>
      <c r="K80" s="4"/>
      <c r="L80" s="4"/>
      <c r="M80" s="4"/>
      <c r="N80" s="4"/>
      <c r="O80" s="4"/>
      <c r="P80" s="4"/>
    </row>
    <row r="81" spans="1:16" ht="15" hidden="1">
      <c r="A81" s="3"/>
      <c r="B81" s="3"/>
      <c r="C81" s="3"/>
      <c r="D81" s="3"/>
      <c r="E81" s="3"/>
      <c r="F81" s="3"/>
      <c r="G81" s="3"/>
      <c r="H81" s="3"/>
      <c r="I81" s="3"/>
      <c r="J81" s="3"/>
      <c r="K81" s="4"/>
      <c r="L81" s="4"/>
      <c r="M81" s="4"/>
      <c r="N81" s="4"/>
      <c r="O81" s="4"/>
      <c r="P81" s="4"/>
    </row>
    <row r="82" spans="1:16" ht="15" hidden="1">
      <c r="A82" s="3"/>
      <c r="B82" s="3"/>
      <c r="C82" s="3"/>
      <c r="D82" s="3"/>
      <c r="E82" s="3"/>
      <c r="F82" s="3"/>
      <c r="G82" s="3"/>
      <c r="H82" s="3"/>
      <c r="I82" s="3"/>
      <c r="J82" s="3"/>
      <c r="K82" s="4"/>
      <c r="L82" s="4"/>
      <c r="M82" s="4"/>
      <c r="N82" s="4"/>
      <c r="O82" s="4"/>
      <c r="P82" s="4"/>
    </row>
    <row r="83" spans="1:16" ht="15.75" hidden="1" thickBot="1">
      <c r="A83" s="3"/>
      <c r="B83" s="11">
        <f>IF(B29&gt;=1,ROUND(PPMT(B31*0.01,1,B29,-(((1-B27*0.01)*B7))),2),0)</f>
        <v>0</v>
      </c>
      <c r="C83" s="11">
        <f>IF(B29&gt;=2,ROUND(PPMT(B31*0.01,2,B29,-(((1-B27*0.01)*B7))),2),0)</f>
        <v>0</v>
      </c>
      <c r="D83" s="11">
        <f>IF(B29&gt;=3,ROUND(PPMT(B31*0.01,3,B29,-(((1-B27*0.01)*B7))),2),0)</f>
        <v>0</v>
      </c>
      <c r="E83" s="11">
        <f>IF(B29&gt;=4,ROUND(PPMT(B31*0.01,4,B29,-(((1-B27*0.01)*B7))),2),0)</f>
        <v>0</v>
      </c>
      <c r="F83" s="11">
        <f>IF(B29&gt;=5,ROUND(PPMT(B31*0.01,5,B29,-(((1-B27*0.01)*B7))),2),0)</f>
        <v>0</v>
      </c>
      <c r="G83" s="11">
        <f>IF(B29&gt;=6,ROUND(PPMT(B31*0.01,6,B29,-(((1-B27*0.01)*B7))),2),0)</f>
        <v>0</v>
      </c>
      <c r="H83" s="11">
        <f>IF(B29&gt;=7,ROUND(PPMT(B31*0.01,7,B29,-(((1-B27*0.01)*B7))),2),0)</f>
        <v>0</v>
      </c>
      <c r="I83" s="3"/>
      <c r="J83" s="3"/>
      <c r="K83" s="4"/>
      <c r="L83" s="4"/>
      <c r="M83" s="4"/>
      <c r="N83" s="4"/>
      <c r="O83" s="4"/>
      <c r="P83" s="4"/>
    </row>
    <row r="84" spans="1:16" ht="15.75" hidden="1" thickTop="1">
      <c r="A84" s="3"/>
      <c r="B84" s="3"/>
      <c r="C84" s="3"/>
      <c r="D84" s="3"/>
      <c r="E84" s="3"/>
      <c r="F84" s="3"/>
      <c r="G84" s="3"/>
      <c r="H84" s="3"/>
      <c r="I84" s="3"/>
      <c r="J84" s="3"/>
      <c r="K84" s="4"/>
      <c r="L84" s="4"/>
      <c r="M84" s="4"/>
      <c r="N84" s="4"/>
      <c r="O84" s="4"/>
      <c r="P84" s="4"/>
    </row>
    <row r="85" spans="1:16" ht="15" hidden="1">
      <c r="A85" s="3"/>
      <c r="B85" s="3"/>
      <c r="C85" s="3"/>
      <c r="D85" s="3"/>
      <c r="E85" s="3"/>
      <c r="F85" s="3"/>
      <c r="G85" s="3"/>
      <c r="H85" s="3"/>
      <c r="I85" s="3"/>
      <c r="J85" s="3"/>
      <c r="K85" s="4"/>
      <c r="L85" s="4"/>
      <c r="M85" s="4"/>
      <c r="N85" s="4"/>
      <c r="O85" s="4"/>
      <c r="P85" s="4"/>
    </row>
    <row r="86" spans="1:16" ht="15" hidden="1">
      <c r="A86" s="10">
        <f>+A50</f>
        <v>-1195</v>
      </c>
      <c r="B86" s="3">
        <f>(B50/(1+($G$7/100)))</f>
        <v>255.23809523809524</v>
      </c>
      <c r="C86" s="3">
        <f>(C50/(1+($G$7/100))^2)</f>
        <v>151.47392290249434</v>
      </c>
      <c r="D86" s="3">
        <f>(D50/(1+($G$7/100))^3)</f>
        <v>164.99298131951193</v>
      </c>
      <c r="E86" s="3">
        <f>(E50/(1+($G$7/100))^4)</f>
        <v>69.10700788251809</v>
      </c>
      <c r="F86" s="3">
        <f>(F50/(1+($G$7/100))^5)</f>
        <v>65.81619798335055</v>
      </c>
      <c r="G86" s="3">
        <f>(G50/(1+($G$7/100))^6)</f>
        <v>37.31076983183139</v>
      </c>
      <c r="H86" s="3">
        <f>(H50/(1+($G$7/100))^7)</f>
        <v>461.94286458457896</v>
      </c>
      <c r="I86" s="3">
        <f>(I50/(1+($G$7/100))^8)</f>
        <v>0</v>
      </c>
      <c r="J86" s="3"/>
      <c r="K86" s="4"/>
      <c r="L86" s="4"/>
      <c r="M86" s="4"/>
      <c r="N86" s="4"/>
      <c r="O86" s="4"/>
      <c r="P86" s="4"/>
    </row>
    <row r="87" spans="1:16" ht="15" hidden="1">
      <c r="A87" s="3"/>
      <c r="B87" s="3"/>
      <c r="C87" s="3"/>
      <c r="D87" s="3"/>
      <c r="E87" s="3"/>
      <c r="F87" s="3"/>
      <c r="G87" s="3"/>
      <c r="H87" s="3"/>
      <c r="I87" s="3"/>
      <c r="J87" s="3"/>
      <c r="K87" s="4"/>
      <c r="L87" s="4"/>
      <c r="M87" s="4"/>
      <c r="N87" s="4"/>
      <c r="O87" s="4"/>
      <c r="P87" s="4"/>
    </row>
    <row r="88" spans="1:16" ht="15" hidden="1">
      <c r="A88" s="3"/>
      <c r="B88" s="3">
        <f>IF(B50&lt;0,1,0)</f>
        <v>0</v>
      </c>
      <c r="C88" s="3">
        <f aca="true" t="shared" si="2" ref="C88:I88">IF(C50&lt;0,1,0)</f>
        <v>0</v>
      </c>
      <c r="D88" s="3">
        <f t="shared" si="2"/>
        <v>0</v>
      </c>
      <c r="E88" s="3">
        <f t="shared" si="2"/>
        <v>0</v>
      </c>
      <c r="F88" s="3">
        <f t="shared" si="2"/>
        <v>0</v>
      </c>
      <c r="G88" s="3">
        <f t="shared" si="2"/>
        <v>0</v>
      </c>
      <c r="H88" s="3">
        <f t="shared" si="2"/>
        <v>0</v>
      </c>
      <c r="I88" s="3">
        <f t="shared" si="2"/>
        <v>0</v>
      </c>
      <c r="J88" s="3"/>
      <c r="K88" s="4"/>
      <c r="L88" s="4"/>
      <c r="M88" s="4"/>
      <c r="N88" s="4"/>
      <c r="O88" s="4"/>
      <c r="P88" s="4"/>
    </row>
    <row r="89" spans="1:16" ht="15" hidden="1">
      <c r="A89" s="3"/>
      <c r="B89" s="41">
        <f>IF(B88=0,"",IF(SUM(C88:I88)=1," one and",IF(SUM(C88:I88)&gt;1," one,"," one.")))</f>
      </c>
      <c r="C89" s="41">
        <f>IF(C88=0,"",IF(SUM(C88:I88)=0,"",IF(SUM(D88:I88)=1," two and",IF(SUM(D88:I88)&gt;1," two,"," two."))))</f>
      </c>
      <c r="D89" s="41">
        <f>IF(D88=0,"",IF(SUM(D88:I88)=0,"",IF(SUM(E88:I88)=1," three and",IF(SUM(E88:I88)&gt;1," three,"," three."))))</f>
      </c>
      <c r="E89" s="41">
        <f>IF(E88=0,"",IF(SUM(E88:I88)=0,"",IF(SUM(F88:I88)=1," four and",IF(SUM(F88:I88)&gt;1," four,"," four."))))</f>
      </c>
      <c r="F89" s="41">
        <f>IF(F88=0,"",IF(SUM(F88:I88)=0,"",IF(SUM(G88:I88)=1," five and",IF(SUM(G88:I88)&gt;1," five,"," five."))))</f>
      </c>
      <c r="G89" s="41">
        <f>IF(G88=0,"",IF(SUM(G88:I88)=0,"",IF(SUM(H88:I88)=1," six and",IF(SUM(H88:I88)&gt;1," six,"," six."))))</f>
      </c>
      <c r="H89" s="41">
        <f>IF(H88=0,"",IF(SUM(H88:I88)=0,"",IF(SUM(I88:I88)=1," seven and",IF(SUM(I88:I88)&gt;1," seven,"," seven."))))</f>
      </c>
      <c r="I89" s="41">
        <f>IF(I88=1,IF(SUM(B88:H88)=0,"eight."," eight."),"")</f>
      </c>
      <c r="J89" s="3"/>
      <c r="K89" s="4"/>
      <c r="L89" s="4"/>
      <c r="M89" s="4"/>
      <c r="N89" s="4"/>
      <c r="O89" s="4"/>
      <c r="P89" s="4"/>
    </row>
    <row r="90" spans="1:16" ht="15" hidden="1">
      <c r="A90" s="3"/>
      <c r="B90" s="41">
        <f>B89&amp;C89&amp;D89&amp;E89&amp;F89&amp;G89&amp;H89&amp;I89</f>
      </c>
      <c r="C90" s="41"/>
      <c r="D90" s="41"/>
      <c r="E90" s="41"/>
      <c r="F90" s="41"/>
      <c r="G90" s="41"/>
      <c r="H90" s="41"/>
      <c r="I90" s="41"/>
      <c r="J90" s="3"/>
      <c r="K90" s="4"/>
      <c r="L90" s="4"/>
      <c r="M90" s="4"/>
      <c r="N90" s="4"/>
      <c r="O90" s="4"/>
      <c r="P90" s="4"/>
    </row>
    <row r="91" spans="1:16" ht="15" hidden="1">
      <c r="A91" s="4"/>
      <c r="B91" s="41" t="str">
        <f>IF(SUM(B88:I88)&gt;1,"This investment may not be financially feasible due to negative cash flow in years "&amp;B90,"This investment may not be financially feasible due to negative cash flow in year "&amp;B90)</f>
        <v>This investment may not be financially feasible due to negative cash flow in year </v>
      </c>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sheetData>
  <sheetProtection/>
  <mergeCells count="1">
    <mergeCell ref="A2:I3"/>
  </mergeCells>
  <printOptions/>
  <pageMargins left="0.75" right="0.75" top="1" bottom="1" header="0.5" footer="0.5"/>
  <pageSetup fitToHeight="1" fitToWidth="1" horizontalDpi="300" verticalDpi="300" orientation="portrait" scale="62" r:id="rId4"/>
  <headerFooter alignWithMargins="0">
    <oddFooter>&amp;LFilename:  &amp;F&amp;C&amp;D, &amp;T&amp;RPage 1 of 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McGrann</dc:creator>
  <cp:keywords/>
  <dc:description/>
  <cp:lastModifiedBy>Agent</cp:lastModifiedBy>
  <cp:lastPrinted>2009-09-16T16:03:10Z</cp:lastPrinted>
  <dcterms:created xsi:type="dcterms:W3CDTF">2000-06-24T22:22:02Z</dcterms:created>
  <dcterms:modified xsi:type="dcterms:W3CDTF">2011-06-06T18:07:50Z</dcterms:modified>
  <cp:category/>
  <cp:version/>
  <cp:contentType/>
  <cp:contentStatus/>
</cp:coreProperties>
</file>